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19815" windowHeight="7815" tabRatio="836" firstSheet="3" activeTab="6"/>
  </bookViews>
  <sheets>
    <sheet name="RESUMO" sheetId="1" r:id="rId1"/>
    <sheet name="ORÇAMENTO BÁSICO" sheetId="2" r:id="rId2"/>
    <sheet name="MEMÓRIA DE CÁLCULO" sheetId="3" r:id="rId3"/>
    <sheet name="CRONOGRAMA" sheetId="7" r:id="rId4"/>
    <sheet name="CURVA ABC" sheetId="8" r:id="rId5"/>
    <sheet name="Composições de Custo" sheetId="4" r:id="rId6"/>
    <sheet name="Composição Caminhão Limpa Fossa" sheetId="5" r:id="rId7"/>
    <sheet name="Orçamento Básico - Sem preço" sheetId="6" r:id="rId8"/>
    <sheet name="BDI" sheetId="9" r:id="rId9"/>
  </sheets>
  <definedNames>
    <definedName name="_xlnm.Print_Area" localSheetId="6">'Composição Caminhão Limpa Fossa'!$A$1:$E$65</definedName>
    <definedName name="_xlnm.Print_Area" localSheetId="5">'Composições de Custo'!$A$1:$G$60</definedName>
    <definedName name="_xlnm.Print_Area" localSheetId="3">CRONOGRAMA!$A$1:$L$32</definedName>
    <definedName name="_xlnm.Print_Area" localSheetId="4">'CURVA ABC'!$A$1:$I$127</definedName>
    <definedName name="_xlnm.Print_Titles" localSheetId="2">'MEMÓRIA DE CÁLCULO'!$1:$7</definedName>
    <definedName name="_xlnm.Print_Area" localSheetId="1">'ORÇAMENTO BÁSICO'!$A$1:$H$161</definedName>
    <definedName name="_xlnm.Print_Titles" localSheetId="1">'ORÇAMENTO BÁSICO'!$1:$9</definedName>
    <definedName name="_xlnm.Print_Area" localSheetId="7">'Orçamento Básico - Sem preço'!$A$1:$H$161</definedName>
    <definedName name="_xlnm.Print_Titles" localSheetId="7">'Orçamento Básico - Sem preço'!$1:$9</definedName>
    <definedName name="__xlnm.Print_Titles" localSheetId="1">'ORÇAMENTO BÁSICO'!$1:$9</definedName>
    <definedName name="__xlnm.Print_Titles" localSheetId="2">'MEMÓRIA DE CÁLCULO'!$1:$7</definedName>
    <definedName name="__xlnm.Print_Titles" localSheetId="7">'Orçamento Básico - Sem preço'!$1:$9</definedName>
    <definedName name="_xlnm.Print_Titles" localSheetId="4">'CURVA ABC'!$1:$10</definedName>
    <definedName name="_xlnm.Print_Titles" localSheetId="5">'Composições de Custo'!$1:$4</definedName>
  </definedNames>
  <calcPr calcId="144525"/>
</workbook>
</file>

<file path=xl/sharedStrings.xml><?xml version="1.0" encoding="utf-8"?>
<sst xmlns="http://schemas.openxmlformats.org/spreadsheetml/2006/main" count="2320" uniqueCount="679">
  <si>
    <t>PREFEITURA MUNICIPAL DE CAMARAGIBE</t>
  </si>
  <si>
    <t>SECRETARIA DE EDUCAÇÃO</t>
  </si>
  <si>
    <t>RESUMO</t>
  </si>
  <si>
    <t>OBJETO</t>
  </si>
  <si>
    <t>CONTRATAÇÃO DE EMPRESA DE ENGENHARIA PARA A EXECUÇÃO DE OBRAS RECUPERAÇÃO DA ESCOLA PAULO FREIRE, LOCALIZADA NA ESTRADA DAS PEDREIRAS  S/N, LOTEAMENTO SÃO PEDRO - CAMARAGIBE/PE.</t>
  </si>
  <si>
    <t>LOCAL</t>
  </si>
  <si>
    <t>ESTRADA DAS PEDREIRAS – LOTEAMENTO SÃO PEDRO – CAMARAGIBE/PE.</t>
  </si>
  <si>
    <t>FONTE DE PRECOS</t>
  </si>
  <si>
    <t>COMPOSIÇÕES DE CUSTOS  E COTAÇÃO + TABELA DA SINAPI-PE (DEZ/2020)-DESONERADA E EMLURB (JULHO/2018)  + (BDI 28,82%).</t>
  </si>
  <si>
    <t>ITEM</t>
  </si>
  <si>
    <t>DISCRIMINAÇÃO</t>
  </si>
  <si>
    <t>PREÇO (R$)</t>
  </si>
  <si>
    <t>1.0</t>
  </si>
  <si>
    <t>SUBTOTAL 1.0</t>
  </si>
  <si>
    <t>2.0</t>
  </si>
  <si>
    <t>SUBTOTAL 2.0</t>
  </si>
  <si>
    <t>3.0</t>
  </si>
  <si>
    <t>SUBTOTAL 3.0</t>
  </si>
  <si>
    <t>4.0</t>
  </si>
  <si>
    <t>SUBTOTAL 4.0</t>
  </si>
  <si>
    <t>5.0</t>
  </si>
  <si>
    <t>SUBTOTAL 5.0</t>
  </si>
  <si>
    <t>6.0</t>
  </si>
  <si>
    <t>SUBTOTAL 6.0</t>
  </si>
  <si>
    <t>7.0</t>
  </si>
  <si>
    <t>SUBTOTAL 7.0</t>
  </si>
  <si>
    <t>8.0</t>
  </si>
  <si>
    <t>SUBTOTAL 8.0</t>
  </si>
  <si>
    <t>9.0</t>
  </si>
  <si>
    <t>SUBTOTAL 9.0</t>
  </si>
  <si>
    <t>10.0</t>
  </si>
  <si>
    <t>SUBTOTAL 10.0</t>
  </si>
  <si>
    <t>11.0</t>
  </si>
  <si>
    <t>SUBTOTAL 11.0</t>
  </si>
  <si>
    <t>12.0</t>
  </si>
  <si>
    <t>SUBTOTAL 12.0</t>
  </si>
  <si>
    <t>13.0</t>
  </si>
  <si>
    <t>SUBTOTAL 13.0</t>
  </si>
  <si>
    <t>14.0</t>
  </si>
  <si>
    <t>SUBTOTAL 14.0</t>
  </si>
  <si>
    <t>15.0</t>
  </si>
  <si>
    <t>SUBTOTAL 15.0</t>
  </si>
  <si>
    <t>16.0</t>
  </si>
  <si>
    <t>SUBTOTAL 16.0</t>
  </si>
  <si>
    <t>TOTAL GERAL</t>
  </si>
  <si>
    <t xml:space="preserve">  ORÇAMENTO BÁSICO</t>
  </si>
  <si>
    <t>CÓDIGO</t>
  </si>
  <si>
    <t>UNID.</t>
  </si>
  <si>
    <t>QUANT.</t>
  </si>
  <si>
    <t xml:space="preserve">PREÇO UNITÁRIO SEM BDI(R$) </t>
  </si>
  <si>
    <t>BDI</t>
  </si>
  <si>
    <t>PREÇO TOTAL(R$)</t>
  </si>
  <si>
    <t>SERVIÇOS PRELIMINARES</t>
  </si>
  <si>
    <t>1.1</t>
  </si>
  <si>
    <t>4813 - insumos (SINAPI – 12/2020)</t>
  </si>
  <si>
    <t>PLACA DE OBRA (PARA CONSTRUCAO CIVIL) EM CHAPA GALVANIZADA *N. 22*, ADESIVADA.</t>
  </si>
  <si>
    <t>M²</t>
  </si>
  <si>
    <t>1.2</t>
  </si>
  <si>
    <t>03.02.020 (EMLURB - 07/2018)</t>
  </si>
  <si>
    <t xml:space="preserve">CAPINACAO E LIMPEZA SUPERFICIAL DO TERRENO. </t>
  </si>
  <si>
    <t>1.3</t>
  </si>
  <si>
    <t>03.02.030 (EMLURB - 07/2018)</t>
  </si>
  <si>
    <t>RASPAGEM E LIMPEZA DO TERRENO (LIMPEZA DO CANAL)</t>
  </si>
  <si>
    <t>1.4</t>
  </si>
  <si>
    <t>04.03.050 (EMLURB - 07/2018)</t>
  </si>
  <si>
    <t>REMOCAO DE MATERIAL DE PRIMEIRA CATEGORIA EM CAMINHAO BASCULANTE, D.M.T. 12 KM, INCLUSIVE CARGA MANUAL E DESCARGA MECANICA.</t>
  </si>
  <si>
    <t>M³</t>
  </si>
  <si>
    <t>1.5</t>
  </si>
  <si>
    <t>03.03.040 (EMLURB - 07/2018)</t>
  </si>
  <si>
    <t xml:space="preserve">FORNECIMENTO E ASSENTAMENTO DE TAPUME EM CHAPAS DE MADEIRA COMPENSADA DE 6 MM. </t>
  </si>
  <si>
    <t>1.6</t>
  </si>
  <si>
    <t>02.01.200 (EMLURB - 07/2018)</t>
  </si>
  <si>
    <t xml:space="preserve">SERVICO TOPOGRAFICO DE PEQUENO PORTE (PRECO MINIMO), DIARIA DE UMA EQUIPE COM TOPOGRAFO, QUATRO AUXILIARES, TEODOLITO, NIVEL OTICO ETC. </t>
  </si>
  <si>
    <t>DIA</t>
  </si>
  <si>
    <t xml:space="preserve">DEMOLIÇÕES </t>
  </si>
  <si>
    <t>2.1</t>
  </si>
  <si>
    <t>03.01.010 (EMLURB - 07/2018)</t>
  </si>
  <si>
    <t>DEMOLICAO DE COBERTURA COM TELHAS CERAMICAS.</t>
  </si>
  <si>
    <t>2.2</t>
  </si>
  <si>
    <t>03.01.020 (EMLURB - 07/2018)</t>
  </si>
  <si>
    <t xml:space="preserve">DEMOLICAO DE COBERTURA COM TELHA ONDULADA DE FIBRO-CIMENTO. </t>
  </si>
  <si>
    <t>2.3</t>
  </si>
  <si>
    <t>03.01.050 (EMLURB - 07/2018)</t>
  </si>
  <si>
    <t>RETIRADA DE ESQUADRIAS DE MADEIRA OU METALICAS</t>
  </si>
  <si>
    <t>2.4</t>
  </si>
  <si>
    <t>03.01.060 (EMLURB - 07/2018)</t>
  </si>
  <si>
    <t>DEMOLICAO DE REVESTIMENTO DE PISO EM CIMENTADO.</t>
  </si>
  <si>
    <t>2.5</t>
  </si>
  <si>
    <t>03.01.070 (EMLURB - 07/2018)</t>
  </si>
  <si>
    <t xml:space="preserve">DEMOLICAO DE REVESTIMENTO DE PISO EM CIMENTADO INCLUSIVE LASTRO DE CONCRETO. </t>
  </si>
  <si>
    <t>2.6</t>
  </si>
  <si>
    <t>03.01.080 (EMLURB - 07/2018)</t>
  </si>
  <si>
    <t xml:space="preserve">DEMOLICAO DE REVESTIMENTO DE PISO COM LADRILHO HIDRAULICO OU CERAMICO. </t>
  </si>
  <si>
    <t>2.7</t>
  </si>
  <si>
    <t>03.01.120 (EMLURB - 07/2018)</t>
  </si>
  <si>
    <t>DEMOLICAO DE REVESTIMENTO COM AZULEJOS OU CERAMICAS.</t>
  </si>
  <si>
    <t>2.8</t>
  </si>
  <si>
    <t>03.01.130 (EMLURB - 07/2018)</t>
  </si>
  <si>
    <t>DEMOLICAO DE REVESTIMENTO COM ARGAMASSA DE CAL E AREIA.</t>
  </si>
  <si>
    <t>2.9</t>
  </si>
  <si>
    <t>03.01.210 (EMLURB - 07/2018)</t>
  </si>
  <si>
    <t xml:space="preserve">DEMOLICAO MANUAL DE CONCRETO ARMADO. </t>
  </si>
  <si>
    <t>2.10</t>
  </si>
  <si>
    <t>COMPOSIÇÃO 1</t>
  </si>
  <si>
    <t>RETIRADA DE POSTE DE CONCRETO 100/8</t>
  </si>
  <si>
    <t>h</t>
  </si>
  <si>
    <t>2.11</t>
  </si>
  <si>
    <t>05.01.010 (EMLURB - 07/2018)</t>
  </si>
  <si>
    <t>ESCAVACAO MANUAL EM TERRA ATE 1,50 M DE PROFUNDIDADE, SEM ESCORAMENTO (PARA ESTUDO DE VAZÃO DO LENÇOL FREÁTICO).</t>
  </si>
  <si>
    <t>2.12</t>
  </si>
  <si>
    <t>04.03.170 (EMLURB - 07/2018)</t>
  </si>
  <si>
    <t xml:space="preserve">REMOCAO DE METRALHA EM CAMINHAO BASCULANTE, D.M.T 6 KM, INCLUSIVE CARGA E DESCARGA MECANICAS. </t>
  </si>
  <si>
    <t>2.13</t>
  </si>
  <si>
    <t>COMPOSIÇÃO CAMINHÃO LIMPA FOSSA</t>
  </si>
  <si>
    <t>CAMINHÃO COMBINADO HIDROJATO - Desobstrução e limpeza mecanizada de microdrenagem  através da utilização de caminhões de alta pressão.(COMP LIMPA FOSSA)</t>
  </si>
  <si>
    <t>REVESTIMENTOS</t>
  </si>
  <si>
    <t>3.1</t>
  </si>
  <si>
    <t>11.02.010 (EMLURB - 07/2018)</t>
  </si>
  <si>
    <t xml:space="preserve">CHAPISCO COM ARGAMASSA DE CIMENTO E AREIA NO TRACO 1 3. </t>
  </si>
  <si>
    <t>3.2</t>
  </si>
  <si>
    <t>11.04.040 (EMLURB - 07/2018)</t>
  </si>
  <si>
    <t>REBOCO COM ARGAMASSA DE CAL HIDRATADA E AREIA NO TRACO 1:2, COM 5,0 MM DE ESPESSURA.</t>
  </si>
  <si>
    <t>3.3</t>
  </si>
  <si>
    <t>11.03.010 (EMLURB - 07/2018)</t>
  </si>
  <si>
    <t>EMBOCO COM ARGAMASSA DE CAL PRETA EM PASTA E AREIA NO TRACO 1 4 , DOSADA COM 110 KG DE CIMENTO, COM 2,0 CM DE ESPESSURA.</t>
  </si>
  <si>
    <t>3.4</t>
  </si>
  <si>
    <t>11.06.052 (EMLURB - 07/2018)</t>
  </si>
  <si>
    <t>REVESTIMENTO EM PAREDE COM CERAMICA ESMALTADA 45X45CM, TIPO A, PEI5, ELIANE,PORTO RICO, SAMARSA, ELIZABETH OU SIMILAR, ASSENTADO COM ARGAMASSA PRE FABRICADA E REJUNTE DA QUARTZOLIT OU SIMILAR (ESPESSURA DA JUNTA DE 6MM) SOBRE EMBOCO PRONTO.</t>
  </si>
  <si>
    <t>3.5</t>
  </si>
  <si>
    <t>13.03.141 (EMLURB - 07/2018)</t>
  </si>
  <si>
    <t xml:space="preserve">PISO CERAMICO ESMALTADO 36X36CM, TIPO A, PEI5 ELIANE, PORTO RICO, SAMARSA, ELIZABETH OU SIM ASSENTADO COM ARGAMASSA PRE FABRICADA E REJUNTE DA QUARTZOLIT OU SIM. (ESP. DA JUNTA=6MM). </t>
  </si>
  <si>
    <t>3.6</t>
  </si>
  <si>
    <t>Composição 3</t>
  </si>
  <si>
    <t xml:space="preserve">CONCRETO ARMADO PRONTO, FCK 40 MPA, SUBSTITUINDO O CIMENTO POR GRAUTE, PARA REFORÇO ESTRUTURAL, LANCADO EM VIGAS E ADENSADO, INCLUSIVE FORMA, ESCORAMENTO E FERRAGEM </t>
  </si>
  <si>
    <t>3.7</t>
  </si>
  <si>
    <t>3.8</t>
  </si>
  <si>
    <t xml:space="preserve">ESCAVACAO MANUAL EM TERRA ATE 1,50 M DE PROFUNDIDADE, SEM ESCORAMENTO. </t>
  </si>
  <si>
    <t>3.9</t>
  </si>
  <si>
    <t xml:space="preserve">CONCRETO ARMADO PRONTO, FCK 40 MPA, SUBSTITUINDO O CIMENTO POR GRAUTE, PARA REFORÇO ESTRUTURAL, LANCADO EM PILARES E ADENSADO, INCLUSIVE FORMA, ESCORAMENTO E FERRAGEM </t>
  </si>
  <si>
    <t>3.10</t>
  </si>
  <si>
    <t>05.02.020 (EMLURB - 07/2018)</t>
  </si>
  <si>
    <t>REATERRO APILOADO DE VALAS EM CAMADAS DE 20CM DE ESPESSURA, COM APROVEITAMENTO DO MATERIAL ESCAVADO.</t>
  </si>
  <si>
    <t>CONCRETO (ESTRUTURA DA CAIXA D'AGUA)</t>
  </si>
  <si>
    <t>4.1</t>
  </si>
  <si>
    <t>4.2</t>
  </si>
  <si>
    <t>06.03.010 (EMLURB - 07/2018)</t>
  </si>
  <si>
    <t>CONCRETO NAO ESTRUTURAL (1 4 8) PARA LASTROS DE PISOS E FUNDACOES, LANCADO E ADENSADO.</t>
  </si>
  <si>
    <t>4.3</t>
  </si>
  <si>
    <t>06.03.104 (EMLURB - 07/2018)</t>
  </si>
  <si>
    <t>CONCRETO ARMADO PRONTO, FCK 30 MPA CONDICAO A (NBR 12655), LANCADO EM FUNDACOES E ADENSADO, INCLUSIVE FORMA, ESCORAMENTO E FERRAGEM.</t>
  </si>
  <si>
    <t>4.4</t>
  </si>
  <si>
    <t>06.03.134 (EMLURB - 07/2018)</t>
  </si>
  <si>
    <t xml:space="preserve">CONCRETO ARMADO PRONTO, FCK 30 MPA,CONDICAO A (NBR 12655), LANCADO EM PILARES E ADENSADO,INCLUSIVE FORMA, ESCORAMENTO E FERRAGEM. </t>
  </si>
  <si>
    <t>4.5</t>
  </si>
  <si>
    <t>06.03.114  (EMLURB - 07/2018)</t>
  </si>
  <si>
    <t xml:space="preserve">CONCRETO ARMADO PRONTO, FCK 30 MPA,CONDICAO A (NBR 12655), LANCADO EM LAJES E ADENSADO, INCLUSIVE FORMA, ESCORAMENTO E FERRAGEM. </t>
  </si>
  <si>
    <t>4.6</t>
  </si>
  <si>
    <t>06.03.124  (EMLURB - 07/2019)</t>
  </si>
  <si>
    <t xml:space="preserve">CONCRETO ARMADO PRONTO, FCK 30 MPA,CONDICAO A (NBR 12656), LANCADO EM VIGAS E ADENSADO, INCLUSIVE FORMA, ESCORAMENTO E FERRAGEM. </t>
  </si>
  <si>
    <t>4.7</t>
  </si>
  <si>
    <t xml:space="preserve">REATERRO APILOADO DE VALAS EM CAMADAS DE 20CM DE ESPESSURA, COM APROVEITAMENTO DO MATERIAL ESCAVADO. </t>
  </si>
  <si>
    <t>COBERTA</t>
  </si>
  <si>
    <t>5.1</t>
  </si>
  <si>
    <t>08.01.060 (EMLURB - 07/2018)</t>
  </si>
  <si>
    <t>ESTRUTURA DE COBERTA EM MADEIRA DE LEI PARA TELHAS CERAMICAS - VAO DE 10 A 13 M.</t>
  </si>
  <si>
    <t>5.2</t>
  </si>
  <si>
    <t>08.02.060 (EMLURB - 07/2018)</t>
  </si>
  <si>
    <t xml:space="preserve">COBERTURA COM TELHAS CERAMICAS, TIPO COLONIAL. </t>
  </si>
  <si>
    <t>5.3</t>
  </si>
  <si>
    <t>COBERTURA COM TELHAS CERAMICAS, TIPO COLONIAL. (SÓ MÃO DE OBRA)</t>
  </si>
  <si>
    <t>ESQUADRIAS</t>
  </si>
  <si>
    <t>6.1</t>
  </si>
  <si>
    <t>09.01.020 (EMLURB - 07/2018)</t>
  </si>
  <si>
    <t xml:space="preserve">ESQUADRIA DE MADEIRA COM GRADE E FOLHA EM MADEIRA DE LEI PARA PORTAS EXTERNAS INCLUSIVE ASSENTAMENTO E FERRAGENS. </t>
  </si>
  <si>
    <t>6.2</t>
  </si>
  <si>
    <t>09.02.020 (EMLURB - 07/2018)</t>
  </si>
  <si>
    <t xml:space="preserve">GRADE DE PROTECAO DE PORTA EM FERRO C/ VAROES DE 1/2", ESPAC=10CM E ACABAMENTO EM BARRA CHATA DE 1" X 1/4", INCLUSIVE FECHADURA DE SOBREPOR BRASIL OU SIMILAR E ASSENTAMENTO. </t>
  </si>
  <si>
    <t>6.3</t>
  </si>
  <si>
    <t>09.03.010 (EMLURB - 07/2018)</t>
  </si>
  <si>
    <t>FORNECIMENTO DE ESQUADRIA DE ALUMINIO, TIPO CORRER SEM BANDEIRA, COM CONTRAMARCO, INCLUSI VE ASSENTAMENTO.</t>
  </si>
  <si>
    <t>6.4</t>
  </si>
  <si>
    <t>09.02.022 (EMLURB - 07/2018)</t>
  </si>
  <si>
    <t>GRADE DE PROTECAO DE JANELA EM FERRO COM VAROES DE 1/2", ESPAC=10CM E ACABAMENTO EM BARRA CHATA DE 1" X 1/4" INCLUSIVE ASSENTAMENTO.</t>
  </si>
  <si>
    <t>PINTURAS</t>
  </si>
  <si>
    <t>7.1</t>
  </si>
  <si>
    <t>16.03.010 (EMLURB - 07/2018)</t>
  </si>
  <si>
    <t>PINTURA LATEX EM PAREDES INTERNAS, CORALAR OU SIMILAR, DUAS DEMAOS, SEM MASSA CORRIDA,INCLU SIVE APLICACAO DE UMA DEMAO DE LIQUIDO SELADOR DE PAREDE.</t>
  </si>
  <si>
    <t>7.2</t>
  </si>
  <si>
    <t>16.03.070 (EMLURB - 07/2018)</t>
  </si>
  <si>
    <t>PINTURA A BASE DE EMULSAO ACRILICA, CORALPLUS OU SIMILAR, EM PAREDES EXTERNAS, DUAS DEMAOS, SEM MASSA, INCLUSIVE APLICACAO DE SELADOR ACRI LICO, UMA DEMAO.</t>
  </si>
  <si>
    <t>7.3</t>
  </si>
  <si>
    <t>16.04.050 (EMLURB - 07/2018)</t>
  </si>
  <si>
    <t>PINTURA A OLEO EM ESQUADRIAS DE MADEIRA, DUAS DEMAOS, COM APARELHAMENTO E SEM EMASSAMENTO, INCLUSIVE APLICACAO DE FUNDO SINTETICO NIVELA DOR BRANCO FOSCO, UMA DEMAO.</t>
  </si>
  <si>
    <t>7.4</t>
  </si>
  <si>
    <t>16.04.100 (EMLURB - 07/2018)</t>
  </si>
  <si>
    <t>PINTURA COM ESMALTE SINTETICO EM ESQUADRIA DE FERRO, DUAS DEMAOS, COM RASPAGEM E APARELHAMENTO COM ZARCAO.</t>
  </si>
  <si>
    <t>PÁTIO</t>
  </si>
  <si>
    <t>8.1</t>
  </si>
  <si>
    <t>8.2</t>
  </si>
  <si>
    <t>13.03.030 (EMLURB - 07/2018)</t>
  </si>
  <si>
    <t>PISO CIMENTADO COM ARGAMASSA DE CIMENTO E AREIA NO TRACO 1 3, COM 2,0 CM DE ESPESSURA E JUNTAS DE MADEIRA FORMANDO QUADROS DE 2,0 X 2,0 M, E COM ACABAMENTO LISO.</t>
  </si>
  <si>
    <t>8.3</t>
  </si>
  <si>
    <t>16.08.010 (EMLURB - 07/2018)</t>
  </si>
  <si>
    <t>PINTURA A BASE DE TINTA ACRILICA CORALPISO, NOVACOR OU SIMILAR PARA PISOS DE QUADRAS DE ESPORTES, ESTACIONAMENTOS, PASSEIOS, ETC (02 DEMAOS), INCLUSIVE PREPARO DA SUPERFICIE QUE DEVE ESTAR LIMPA, SECA E ISENTA DE GORDURA, GRAXA OU MOFO.</t>
  </si>
  <si>
    <t>8.4</t>
  </si>
  <si>
    <t>16.08.100 (EMLURB - 07/2018)</t>
  </si>
  <si>
    <t xml:space="preserve">DEMARCACAO E PINTURA A BASE DE TINTA ACRILICA CORALPISO, NOVACOR OU SIMILAR, COM TRINCHA DE FAIXA COM 5CM DE LARGURA PARA QUADRAS DE ESPORTES, ESTACIONAMENTOS, ETC (02 DEMAOS), INCLUSIVE PREPARO DA SUPERFICIE QUE DEVE ESTAR LIMPA SECA E ISENTA DE GORDURA, GRAXA OU MOFO. </t>
  </si>
  <si>
    <t>M</t>
  </si>
  <si>
    <t>INSTALAÇÕES ELÉTRICAS</t>
  </si>
  <si>
    <t>9.1</t>
  </si>
  <si>
    <t>18.02.020 (EMLURB - 07/2018)</t>
  </si>
  <si>
    <t>POSTE DE CONCRETO SECCAO DUPLO T, 100/8 , COM ENGASTAMENTO DIRETO NO SOLO DE 1,40 M, INCLUSIVE COLOCACAO.</t>
  </si>
  <si>
    <t>UN.</t>
  </si>
  <si>
    <t>9.2</t>
  </si>
  <si>
    <t>18.05.100 (EMLURB - 07/2018)</t>
  </si>
  <si>
    <t>FORNECIMENTO DE CURVA DE FERRO GALVANIZADO DE 2 POL. (LEVE), INCLUSIVE ASSENTAMENTO.</t>
  </si>
  <si>
    <t>9.3</t>
  </si>
  <si>
    <t>18.04.100 (EMLURB - 07/2018)</t>
  </si>
  <si>
    <t>FORNECIMENTO DE ELETRODUTO DE FERRO GALVANIZA DO DE 2 POL. (LEVE), INCLUSIVE ASSENTAMENTO.</t>
  </si>
  <si>
    <t>M.</t>
  </si>
  <si>
    <t>9.4</t>
  </si>
  <si>
    <t>18.09.030 (EMLURB - 07/2018)</t>
  </si>
  <si>
    <t>FORNECIMENTO E ASSENTAMENTO DE CAIXA PARA MEDICAO TRIFASICA E CAIXA PARA DISJUNTOR TRIFASICO DE POLICARBONATO E NORYL CINZA, INCLUSIVE BUCHAS PLASTICAS E PARAFUSOS PARA INSTALACAO DAS CAIXAS EM PAREDE (PADRAO CELPE) SEM DISJUNTOR.</t>
  </si>
  <si>
    <t>9.5</t>
  </si>
  <si>
    <t>18.16.005 (EMLURB - 07/2018)</t>
  </si>
  <si>
    <t>TOMADA DE EMBUTIR (2P+1T) C/PLACA P/ CAIXA DE 4 X 2 POL.,10A, 250V, PIAL (LINHA SILENTOQUE OU SIMILAR, INCLUSIVE INSTALACAO.</t>
  </si>
  <si>
    <t>9.6</t>
  </si>
  <si>
    <t>18.18.010 (EMLURB - 07/2018)</t>
  </si>
  <si>
    <t>INTERRUPTOR DE EMBUTIR DE UMA SECCAO PARA CAIXA DE 4 X 2 POL., COM PLACA, 10A, 250V, PIAL (LINHA SILENTOQUE) OU SIMILAR, INCLUSIVE INSTALACAO.</t>
  </si>
  <si>
    <t>9.7</t>
  </si>
  <si>
    <t>18.19.025 (EMLURB - 07/2018)</t>
  </si>
  <si>
    <t>CABO DE COBRE, TEMPERA MOLE, ENCORDOAMENTO CLAS SE 2, ISOLAMENTO DE PVC - 70 C, TIPO BWF, 750V FOREPLAST OU SIMILAR, S.M. - 2,5 MM2, INCLUSIVE INSTALACAO EM ELETRODUTO.</t>
  </si>
  <si>
    <t>9.8</t>
  </si>
  <si>
    <t>18.19.030 (EMLURB - 07/2018)</t>
  </si>
  <si>
    <t xml:space="preserve"> CABO DE COBRE, TEMPERA MOLE, ENCORDOAMENTO CLASSE 2, ISOLAMENTO DE PVC - 70 C, TIPO BWF, 750V FOREPLAST OU SIMILAR, S.M. - 4 MM2, INCLUSIVE INSTALACAO EM ELETRODUTO.</t>
  </si>
  <si>
    <t>9.9</t>
  </si>
  <si>
    <t>18.19.041 (EMLURB - 07/2018)</t>
  </si>
  <si>
    <t>CABO DE COBRE, TEMPERA MOLE ,ENCORDOAMENTO CLASSE 2, ISOLAMENTO DE PVC - 70 C, TIPO BWF, 750V FOREPLAST OU SIMILAR, S.M. - 10 MM2, INCLUSIVE INSTALACAO EM ELETRODUTO.</t>
  </si>
  <si>
    <t>9.10</t>
  </si>
  <si>
    <t>18.19.042 (EMLURB - 07/2018)</t>
  </si>
  <si>
    <t>CABO DE COBRE, TEMPERA MOLE ,ENCORDOAMENTO CLASSE 2, ISOLAMENTO DE PVC - 70 C, TIPO BWF, 750V FOREPLAST OU SIMILAR, S.M. - 16 MM3, INCLUSIVE INSTALACAO EM ELETRODUTO.</t>
  </si>
  <si>
    <t>9.11</t>
  </si>
  <si>
    <t>18.20.040 (EMLURB - 07/2018)</t>
  </si>
  <si>
    <t>DISJUNTOR TRIPOLAR TERMOMAGNETICO DE 60 A 100A, 380V, PIAL OU SIMILAR, INCLUSIVE INSTALACAO EM QUADRO DE DISTRIBUICAO.</t>
  </si>
  <si>
    <t>9.12</t>
  </si>
  <si>
    <t>18.25.041 (EMLURB - 07/2018)</t>
  </si>
  <si>
    <t>FORNECIMENTO DE LUMINARIA FLUORESCENTE DE EMBUTIR COM ALETAS DE ALUMINIO ANODIZADO 2X32W, FEA 02 LUMALUX OU SIM, INCLUSIVE LAMPADA, REATOR ELETRONICO, DEMAIS ACESSORIOS E INSTALACAO.</t>
  </si>
  <si>
    <t>9.13</t>
  </si>
  <si>
    <t>18.20.010 (EMLURB - 07/2018)</t>
  </si>
  <si>
    <t>DISJUNTOR MONOPOLAR TERMOMAGNETICO ATE 30A, 220V, PIAL OU SIMILAR, INCLUSIVE INSTALACAO EM QUADRO DE DISTRIBUICAO.</t>
  </si>
  <si>
    <t>9.14</t>
  </si>
  <si>
    <t>18.26.010 (EMLURB - 07/2018)</t>
  </si>
  <si>
    <t>ASSENTAMENTO DE HASTE DE ATERRAMENTO DE 5/8"X 2.40 M COPPERWELD OU SIMILAR, COM CONECTOR PARALELO E PARAFUSOS (INCLUSIVE O FORNECIMENTO DO MATERIAL).</t>
  </si>
  <si>
    <t>9.15</t>
  </si>
  <si>
    <t>18.26.030 (EMLURB - 07/2018)</t>
  </si>
  <si>
    <t xml:space="preserve">ASSENTAMENTO DE CHAVE DE BOIA AUTOMATICA, 15A, INFERIOR MARCA LENZ OU SIMILAR (INCLUSIVE O FORNECIMENTO DO MATERIAL). </t>
  </si>
  <si>
    <t>9.16</t>
  </si>
  <si>
    <t xml:space="preserve">ASSENTAMENTO DE CHAVE DE BOIA AUTOMATICA, 15A, SUPERIOR MARCA LENZ OU SIMILAR (INCLUSIVE O FORNECIMENTO DO MATERIAL). </t>
  </si>
  <si>
    <t>INSTALAÇÕES HIDROSSANITÁRIAS</t>
  </si>
  <si>
    <t>10.1</t>
  </si>
  <si>
    <t>19.05.020 (EMLURB - 07/2018)</t>
  </si>
  <si>
    <t>FORNECIMENTO E ASSENTAMENTO DE TUBOS SOLDAVEIS DE PVC RIGIDO DIAM. 25 MM, INCLUSIVE CONEXOES E ABERTURA DE RASGOS EM ALVENARIA, PARA COLUNAS DE AGUA.</t>
  </si>
  <si>
    <t>10.2</t>
  </si>
  <si>
    <t>19.07.260 (EMLURB - 07/2018)</t>
  </si>
  <si>
    <t xml:space="preserve">FORNECIMENTO DE TORNEIRA DE PRESSAO PARA PIA DIAMETRO 1/2", REF. 1159 C-39, DECA OU SIMILAR, INCLUSIVE FIXACAO. </t>
  </si>
  <si>
    <t xml:space="preserve">UN. </t>
  </si>
  <si>
    <t>10.3</t>
  </si>
  <si>
    <t>19.07.365 (EMLURB - 07/2018)</t>
  </si>
  <si>
    <t>FORNECIMENTO DE REGISTRO DE GAVETA COM CANOPLA, ACABAMENTO CROMADO, REF. 1509, LINHA ASCOT, FABRIMAR OU SIMILAR, DIAM. 1/2 POL., INCLUSIVE FIXACAO.</t>
  </si>
  <si>
    <t>10.4</t>
  </si>
  <si>
    <t>19.07.525 (EMLURB - 07/2018)</t>
  </si>
  <si>
    <t>FORNECIMENTO DE BOMBA 3/4 HP, INCLUSIVE ACESSORIOS, FIXACAO E INSTALACAO.</t>
  </si>
  <si>
    <t>CJ</t>
  </si>
  <si>
    <t>10.5</t>
  </si>
  <si>
    <t>19.07.540 (EMLURB - 07/2018)</t>
  </si>
  <si>
    <t xml:space="preserve">FORNECIMENTO DE VALVULA DE RETENCAO VERTICAL, DIAMETRO DE 1 POLEGADA, INCLUSIVE INSTALACAO. </t>
  </si>
  <si>
    <t>10.6</t>
  </si>
  <si>
    <t>19.07.570 (EMLURB - 07/2018)</t>
  </si>
  <si>
    <t>INSTALACAO DE TORNEIRA DE BOIA DIAM.3/4 POL., INCLUSIVE O FORNECIMENTO DA MESMA.</t>
  </si>
  <si>
    <t>DRENAGEM</t>
  </si>
  <si>
    <t>11.1</t>
  </si>
  <si>
    <t>11.2</t>
  </si>
  <si>
    <t>21.16.010 (EMLURB - 07/2018)</t>
  </si>
  <si>
    <t>FORNECIMENTO E ASSENTAMENTO DE TUBO PEAD PERFURADO DIAM 100MM PARA COLETORES E SUB- COLETORES.</t>
  </si>
  <si>
    <t>11.3</t>
  </si>
  <si>
    <t>19.06.010 (EMLURB - 07/2018)</t>
  </si>
  <si>
    <t>CAIXA COLETORA DE INSPECAO OU DE AREIA C/ PAREDES EM ALVENARIA , LAJE DE TAMPA E DE FUNDO EM CONCRETO, REVESTIDA INTERNAMENTE COM ARGAMASSA DE CIMENTO E AREIA 1:4,DIMENSOES INTERNAS 0,50 X 0,50 M, COM PROFUNDIDADE ATE 0,8M.</t>
  </si>
  <si>
    <t>11.4</t>
  </si>
  <si>
    <t>19.06.020 (EMLURB - 07/2018)</t>
  </si>
  <si>
    <t xml:space="preserve">CAIXA COLETORA DE INSPECAO OU DE AREIA C/ PAREDES EM ALVENARIA, LAJE DE TAMPA E DE FUNDO EM CONCRETO, REVESTIDA INTERNAMENTE COM ARGAMASSA DE CIMENTO E AREIA 1:4, DIMENSOES INTERNAS 0,60 X 0,60 M, COM PROFUNDIDADE ATE 1,0M. </t>
  </si>
  <si>
    <t>11.5</t>
  </si>
  <si>
    <t>Composição 4</t>
  </si>
  <si>
    <t>CJ.</t>
  </si>
  <si>
    <t>11.6</t>
  </si>
  <si>
    <t>21.10.035 (EMLURB - 07/2018)</t>
  </si>
  <si>
    <t>FORNECIMENTO DE GEOTEXTIL TIPO BIDIM OP 30 OU SIMILAR COMO FILTRO EM SUBSTITUICAO A TRANSICAO GRANULOMETRICA EM ATERROS, GABIOES, ENROCAMENTO, RIP-RAPS, CONTENCOES, PROTECAO A EROSAO E ETC, INCLUSIVE APLICACAO.</t>
  </si>
  <si>
    <t>11.7</t>
  </si>
  <si>
    <t>21.10.028 (EMLURB - 07/2018)</t>
  </si>
  <si>
    <t>EXECUCAO DE CAMADA DRENANTE COM BRITA 25MM, INCLUSIVE O FORNECIMENTO DA MESMA.</t>
  </si>
  <si>
    <t>11.8</t>
  </si>
  <si>
    <t>21.10.030 (EMLURB - 07/2018)</t>
  </si>
  <si>
    <t>EXECUCAO DE CAMADA DRENANTE COM BRITA 38MM, INCLUSIVE O FORNECIMENTO DA MESMA.</t>
  </si>
  <si>
    <t>11.9</t>
  </si>
  <si>
    <t>11.10</t>
  </si>
  <si>
    <t>13.01.030 (EMLURB - 07/2018)</t>
  </si>
  <si>
    <t>LASTRO DE PISO COM 5,0 CM DE ESPESSURA EM CONCRETO 1 4 8.</t>
  </si>
  <si>
    <t>m²</t>
  </si>
  <si>
    <t>RECUPERAÇÃO DA FOSSA</t>
  </si>
  <si>
    <t>12.1</t>
  </si>
  <si>
    <t>DEMOLIÇÃO MANUAL DE LAJE PRÉ MOLDADA</t>
  </si>
  <si>
    <t>12.2</t>
  </si>
  <si>
    <t>08.04.010 (EMLURB - 07/2018)</t>
  </si>
  <si>
    <t>IMPERMEABILIZACAO, EMPREGANDO ARGAMASSA DE CIMENTO E AREIA GROSSA NO TRACO 1:3 COM SIKA 1 -ESPESSURA DE 3 CM.</t>
  </si>
  <si>
    <t>12.3</t>
  </si>
  <si>
    <t>11.05.010 (EMLURB - 07/2018)</t>
  </si>
  <si>
    <t>REVESTIMENTO COM ARGAMASSA DE CIMENTO E AREIA NO TRACO 1 3, COM 2,0 CM DE ESPESSURA.</t>
  </si>
  <si>
    <t>12.4</t>
  </si>
  <si>
    <t>08.04.055 (EMLURB - 07/2018)</t>
  </si>
  <si>
    <t>IMPERMEABILIZACAO COM APLICACAO DIRETAMENTE NA ESTRUTURA DE CONCRETO COM QUATRO DEMAOS DE ARGAMASSA POLIMERICA, PARA RESERVATORIOS, CAIXAS D AGUAS, PISCINAS, POCOS DE ELEVADORES ETC., INCLUINDO MATERIAL E MAO DE OBRA.</t>
  </si>
  <si>
    <t>12.5</t>
  </si>
  <si>
    <t>90695 (SINAPI -12/2020)</t>
  </si>
  <si>
    <t>TUBO DE PVC PARA REDE COLETORA DE ESGOTO DE PAREDE MACIÇA, DN 150 MM, JUNTA ELÁSTICA, INSTALADO EM LOCAL COM NÍVEL BAIXO DE INTERFERÊNCIAS - FORNECIMENTO E ASSENTAMENTO.</t>
  </si>
  <si>
    <t>12.6</t>
  </si>
  <si>
    <t>06.07.010 (EMLURB - 07/2017)</t>
  </si>
  <si>
    <t>LAJE PRE-MOLDADA PARA PISO COM VAO NORMAL, INCLUSIVE CAPEAMNTO E ESCORAMENTO.</t>
  </si>
  <si>
    <t>12.7</t>
  </si>
  <si>
    <t>FILTRO ANAERÓBICO</t>
  </si>
  <si>
    <t>13.1</t>
  </si>
  <si>
    <t>ESCAVACAO MANUAL EM TERRA ATE 1,50 M DE PROFUNDIDADE, SEM ESCORAMENTO.</t>
  </si>
  <si>
    <t>13.2</t>
  </si>
  <si>
    <t xml:space="preserve">CONCRETO NAO ESTRUTURAL (1 4 8) PARA LASTROS DE PISOS E FUNDACOES, LANCADO E ADENSADO. </t>
  </si>
  <si>
    <t>13.3</t>
  </si>
  <si>
    <t>06.03.102 (EMLURB - 07/2018)</t>
  </si>
  <si>
    <t>CONCRETO ARMADO PRONTO, FCK 20 MPA,CONDICAO B (NBR 12655), LANCADO EM FUNDACOES E ADENSADO, INCLUSIVE FORMA, ESCORAMENTO E FERRAGEM.</t>
  </si>
  <si>
    <t>13.4</t>
  </si>
  <si>
    <t>06.03.143 (EMLURB - 07/2018)</t>
  </si>
  <si>
    <t>CONCRETO ARMADO PRONTO, FCK 25 MPA,CONDICAO A (NBR 12655),LANCADO EM QUALQUER TIPO DE ESTRUTURA E ADENSADO, INCLUSIVE FORMA, ESCORAMENTO E FERRAGEM.</t>
  </si>
  <si>
    <t>13.5</t>
  </si>
  <si>
    <t>07.01.055 (EMLURB - 07/2018)</t>
  </si>
  <si>
    <t>ALVENARIA DE TIJOLOS MACICOS PRENSADOS,ASSENTADOS E REJUNTADOS COM ARGAMASSA DE CIMENTO E AREIA NO TRACO 1:6 - 1 VEZ.</t>
  </si>
  <si>
    <t>13.6</t>
  </si>
  <si>
    <t>06.07.010 (EMLURB - 07/2018)</t>
  </si>
  <si>
    <t>LAJE PRE-MOLDADA PARA PISO COM VAO NORMAL,INCLUSIVE CAPEAMENTO E ESCORAMENTO.</t>
  </si>
  <si>
    <t>13.7</t>
  </si>
  <si>
    <t>21.02.030 (EMLURB - 07/2018)</t>
  </si>
  <si>
    <t xml:space="preserve">CONTRUCAO DE CAIXA COLETORA, TIPO 'COM GAVETA', EM ALVENARIA DE 1 VEZ DE TIJOLOS MACICOS PRENSADOS (REF. DR-06-OBRAS RECIFE) NAS DIM. INTERNAS 0,8 X 0,8 X 0,90 M, INCLUSIVE ESCAVACAO, REATERRO COMPACTADO E REMOCAO DO MAT. EXCEDENTE ( C/ SOBRETAMPA DE CONC.). </t>
  </si>
  <si>
    <t>13.8</t>
  </si>
  <si>
    <t>90695 (SINAPI -07/2020)</t>
  </si>
  <si>
    <t>13.9</t>
  </si>
  <si>
    <t>13.10</t>
  </si>
  <si>
    <t>13.11</t>
  </si>
  <si>
    <t>13.12</t>
  </si>
  <si>
    <t>04.03.070 (EMLURB - 07/2018)</t>
  </si>
  <si>
    <t>REMOCAO DE MATERIAL DE PRIMEIRA CATEGORIA EM CAMINHAO BASCULANTE, D.M.T. 6 KM, INCLUSIVE CARGA E DESCARGA MECANICAS .</t>
  </si>
  <si>
    <t>REFORÇO DA PAREDE DA DESPENSA</t>
  </si>
  <si>
    <t>14.1</t>
  </si>
  <si>
    <t>14.2</t>
  </si>
  <si>
    <t>03.01.180 (EMLURB - 07/2018)</t>
  </si>
  <si>
    <t>14.3</t>
  </si>
  <si>
    <t>14.4</t>
  </si>
  <si>
    <t>14.5</t>
  </si>
  <si>
    <t>14.6</t>
  </si>
  <si>
    <t>07.01.005  (EMLURB - 07/2018)</t>
  </si>
  <si>
    <t>14.7</t>
  </si>
  <si>
    <t>14.8</t>
  </si>
  <si>
    <t>14.9</t>
  </si>
  <si>
    <t>SERVIÇOS COMPLEMENTARES</t>
  </si>
  <si>
    <t>15.1</t>
  </si>
  <si>
    <t>19.07.146 (EMLURB - 07/2018)</t>
  </si>
  <si>
    <t>INSTALAÇÃO DE CAIXA D'AGUA ELEVADA DE PVC, COM TAMPA, CAPACIDADE PARA 1000 LITROS, INCLUSIVE COLOCACAO E BARRILETE.</t>
  </si>
  <si>
    <t>15.2</t>
  </si>
  <si>
    <t>15.3</t>
  </si>
  <si>
    <t>COMPOSIÇÃO 2</t>
  </si>
  <si>
    <t>REBAIXAMENTO DE LENÇOL FREÁTICO</t>
  </si>
  <si>
    <t>LIMPEZA</t>
  </si>
  <si>
    <t>16.1</t>
  </si>
  <si>
    <t>99814 (SINAPI – 12/2020)</t>
  </si>
  <si>
    <t>LIMPEZA DE SUPERFÍCIE COM JATO DE ALTA PRESSÃO</t>
  </si>
  <si>
    <t xml:space="preserve">TOTAL  </t>
  </si>
  <si>
    <t>Importa o presente orçamento em:</t>
  </si>
  <si>
    <t>(QUINHENTOS E DEZ MIL,  CENTO E OITENTA REAIS E  CINQUENTA E CINCO CENTAVOS)</t>
  </si>
  <si>
    <t>CAMARAGIBE - JANEIRO de 2021.</t>
  </si>
  <si>
    <t xml:space="preserve"> MEMÓRIA DE CÁLCULO</t>
  </si>
  <si>
    <t>CÓD.</t>
  </si>
  <si>
    <t>DESCRIÇÃO</t>
  </si>
  <si>
    <t>COMP.</t>
  </si>
  <si>
    <t>ALT.</t>
  </si>
  <si>
    <t>LARG.</t>
  </si>
  <si>
    <t>TX.</t>
  </si>
  <si>
    <t>TOTAL</t>
  </si>
  <si>
    <t>SERVIÇOS  PRELIMINARES</t>
  </si>
  <si>
    <t>N/A</t>
  </si>
  <si>
    <t>Trecho 01</t>
  </si>
  <si>
    <t>Trecho 02</t>
  </si>
  <si>
    <t>Trecho 03</t>
  </si>
  <si>
    <t>Trecho 04</t>
  </si>
  <si>
    <t>Trecho 05</t>
  </si>
  <si>
    <t>DEMOLIÇÕES</t>
  </si>
  <si>
    <t>Sala 01</t>
  </si>
  <si>
    <t>Sala 02</t>
  </si>
  <si>
    <t>Sala 03</t>
  </si>
  <si>
    <t>Sala 04</t>
  </si>
  <si>
    <t>Sala 05</t>
  </si>
  <si>
    <t>Sala 06</t>
  </si>
  <si>
    <t>Secretaria</t>
  </si>
  <si>
    <t>Diretoria</t>
  </si>
  <si>
    <t>Circulação 1</t>
  </si>
  <si>
    <t>Circulação 2</t>
  </si>
  <si>
    <t>Circulação 3</t>
  </si>
  <si>
    <t>Fachada frente</t>
  </si>
  <si>
    <t>Fachada fundos</t>
  </si>
  <si>
    <t>Fachada lateral direita</t>
  </si>
  <si>
    <t>Fachada lateral esquerda</t>
  </si>
  <si>
    <t>Demolição de telhas cerâmicas</t>
  </si>
  <si>
    <t>Demolição de telha de fibro cimento</t>
  </si>
  <si>
    <t>Demolição de piso em cimentado</t>
  </si>
  <si>
    <t>Demolição de piso em cimentado e lastro</t>
  </si>
  <si>
    <t>Demolição de piso cerâmico</t>
  </si>
  <si>
    <t>Demolição de revestimento cerâmico em paredes</t>
  </si>
  <si>
    <t>Demolição de revestimento massa única em paredes</t>
  </si>
  <si>
    <t>Demolição de concreto armado</t>
  </si>
  <si>
    <t>Escavação em terra</t>
  </si>
  <si>
    <t>Somatório x Coeficiente de desagregamento (20%)</t>
  </si>
  <si>
    <t>D</t>
  </si>
  <si>
    <t>W.C.’s</t>
  </si>
  <si>
    <t>Cozinha</t>
  </si>
  <si>
    <t>Dispensa</t>
  </si>
  <si>
    <t xml:space="preserve">Viga V1 </t>
  </si>
  <si>
    <t xml:space="preserve">Viga V2 </t>
  </si>
  <si>
    <t xml:space="preserve">Viga V3 </t>
  </si>
  <si>
    <t xml:space="preserve">Viga V4 </t>
  </si>
  <si>
    <t xml:space="preserve">Viga V5 </t>
  </si>
  <si>
    <t xml:space="preserve">Viga V6 </t>
  </si>
  <si>
    <t xml:space="preserve">Viga V7 </t>
  </si>
  <si>
    <t xml:space="preserve">Viga V8 </t>
  </si>
  <si>
    <t xml:space="preserve">Viga V9 </t>
  </si>
  <si>
    <t xml:space="preserve">Viga V10 </t>
  </si>
  <si>
    <t>Pilares de 01 ao 09</t>
  </si>
  <si>
    <t xml:space="preserve">CONCRETO (Estrutura da caixa d’água) </t>
  </si>
  <si>
    <t>Despensa</t>
  </si>
  <si>
    <t>WCf</t>
  </si>
  <si>
    <t>WCm</t>
  </si>
  <si>
    <t>WC</t>
  </si>
  <si>
    <t>Teto do prédio todo</t>
  </si>
  <si>
    <t>Muro - partes internas e externas</t>
  </si>
  <si>
    <t>Filtro</t>
  </si>
  <si>
    <t xml:space="preserve">Caixa de Transição </t>
  </si>
  <si>
    <t>DEMOLICAO DE ALVENARIA DE PEDRA REJUNTADA.</t>
  </si>
  <si>
    <t>ALVENARIA EM PEDRA RACHAO ASSENTADA E REJUNTADA COM ARGAMASSA DE CIMENTO E AREIA NO TRACO 1:6.</t>
  </si>
  <si>
    <t xml:space="preserve">LIMPEZA </t>
  </si>
  <si>
    <t xml:space="preserve"> SECRETARIA DE EDUCAÇÃO</t>
  </si>
  <si>
    <t xml:space="preserve">     CRONOGRAMA FÍSICO FINANCEIRO DE DESEMBOLSO MÁXIMO</t>
  </si>
  <si>
    <t>OBJETO: CONTRATAÇÃO DE EMPRESA DE ENGENHARIA PARA A EXECUÇÃO DE OBRAS RECUPERAÇÃO DA ESCOLA PAULO FREIRE, LOCALIZADA NA ESTRADA DAS PEDREIRAS  S/N, LOTEAMENTO SÃO PEDRO - CAMARAGIBE/PE.</t>
  </si>
  <si>
    <t>LOCAL: ESTRADA DAS PEDREIRAS – LOTEAMENTO SÃO PEDRO – CAMARAGIBE/PE.</t>
  </si>
  <si>
    <t>%</t>
  </si>
  <si>
    <t>PREÇO</t>
  </si>
  <si>
    <t>30 DIAS</t>
  </si>
  <si>
    <t>60 DIAS</t>
  </si>
  <si>
    <t>90 DIAS</t>
  </si>
  <si>
    <t>120 DIAS</t>
  </si>
  <si>
    <t>R$</t>
  </si>
  <si>
    <t xml:space="preserve">TOTAL </t>
  </si>
  <si>
    <t>TOTAL ACUMULADO R$</t>
  </si>
  <si>
    <t>CURVA ABC</t>
  </si>
  <si>
    <t xml:space="preserve">PREÇO UNITÁRIO SEM BDI (R$) </t>
  </si>
  <si>
    <t xml:space="preserve">PREÇO UNITÁRIO COM BDI (R$) </t>
  </si>
  <si>
    <t>PREÇO TOTAL (R$)</t>
  </si>
  <si>
    <t>CAMINHÃO COMBINADO : Desobstrução e limpeza mecanizada através da utilização de caminhões de alta pressão.(COMP LIMPA FOSSAS)</t>
  </si>
  <si>
    <t>SECRETARIA EDUCAÇÃO</t>
  </si>
  <si>
    <t xml:space="preserve">OBJETO: </t>
  </si>
  <si>
    <t>LOCAL:</t>
  </si>
  <si>
    <t>COMPOSIÇÃO DE CUSTO</t>
  </si>
  <si>
    <t>UNID</t>
  </si>
  <si>
    <t>COEFICIENTE</t>
  </si>
  <si>
    <t>PREÇO UNITÁRIO (R$)</t>
  </si>
  <si>
    <t>PREÇOS PARCIAIS (R$)</t>
  </si>
  <si>
    <t>1.0 – EQUIPAMENTOS (CUSTO HORÁRIO)</t>
  </si>
  <si>
    <t>EMLURB JULHO/2018</t>
  </si>
  <si>
    <t>CAMINHAO COM CARROCERIA EM MADEIRA COM CAPACIDADE DE 13 TON. POT. 162 HP - COM MAO DE OBRA DO OPERADOR E COMBUSTIVEL.(SERVICO DIURNO)</t>
  </si>
  <si>
    <t>H</t>
  </si>
  <si>
    <t>2.0 – MÃO DE OBRA</t>
  </si>
  <si>
    <t>SINAPI – 247 DEZ/2020</t>
  </si>
  <si>
    <t>Ajudante de eletricistacom encargos complementares</t>
  </si>
  <si>
    <t>SINAPI – 2439 DEZ/2020</t>
  </si>
  <si>
    <t>Eletricista com encargos complementares</t>
  </si>
  <si>
    <t>VALOR TOTAL (R$)</t>
  </si>
  <si>
    <t>dia</t>
  </si>
  <si>
    <t>REBAIXAMENTO DE LENÇOL FREÁTICO EM ÁREAS DESTINADAS A CONSTRUÇÃO DE POÇOS DE VISITA, FOSSAS E FILTROS ANAERÓBICOS</t>
  </si>
  <si>
    <t>CAMINHAO TANQUE IRRIGADEIRA COM CAPACIDADE DE 
6000L. - POT. 162 HP - COM MAO DE OBRA DO OPE 
RADOR E COMBUSTIVEL.(SERVICO DIURNO)</t>
  </si>
  <si>
    <t>2.0 – MATERIAIS</t>
  </si>
  <si>
    <t>SINAPI – 5693 DEZ/2020</t>
  </si>
  <si>
    <t>MOTOBOMBA CENTRÍFUGA, MOTOR A GASOLINA, POTÊNCIA 5,42 HP, BOCAIS 1 1/2 "X 1", DIÂMETRO ROTOR 143 MM HM/Q = 6 MCA / 16,8 M3/H A 38 MCA / 6,6M3/H - MATERIAIS NA OPERAÇÃO. AF_06/2014</t>
  </si>
  <si>
    <t>3.0 – MÃO DE OBRA</t>
  </si>
  <si>
    <t>SINAPI –  88241  DEZ/2020</t>
  </si>
  <si>
    <t>Ajudante de operação em geral com encargos complementares</t>
  </si>
  <si>
    <t>SINAPI – 88264  DEZ/2020</t>
  </si>
  <si>
    <t>SINAPI – 88267  DEZ/2020</t>
  </si>
  <si>
    <t>Encanador com encargos complementares</t>
  </si>
  <si>
    <t>SINAPI –  100289  DEZ/2020</t>
  </si>
  <si>
    <t>Vigia com encargos complementares</t>
  </si>
  <si>
    <t>Valor para 10 pontos diários</t>
  </si>
  <si>
    <t>m³</t>
  </si>
  <si>
    <t>COMPOSIÇÃO 3</t>
  </si>
  <si>
    <t>CONCRETO ARMADO PRONTO, FCK 40 MPA, SUBSTITUINDO O CIMENTO POR GRAUTE, LANCADO EM PILARES E ADENSADO, INCLUSIVE FORMA, ESCORAMENTO E FERRAGEM (M³)</t>
  </si>
  <si>
    <t>SINAPI – 87444  DEZ/2020</t>
  </si>
  <si>
    <t>Betoneira</t>
  </si>
  <si>
    <t>SINAPI – 134 DEZ/2020</t>
  </si>
  <si>
    <t>Cimentício Graute</t>
  </si>
  <si>
    <t>Kg</t>
  </si>
  <si>
    <t>SINAPI – 370 DEZ/2020</t>
  </si>
  <si>
    <t>Areia média</t>
  </si>
  <si>
    <t>SINAPI – 96393  DEZ/2020</t>
  </si>
  <si>
    <t>Brita 0</t>
  </si>
  <si>
    <t>SINAPI – 43054   DEZ/2020</t>
  </si>
  <si>
    <t>Aço</t>
  </si>
  <si>
    <t>SINAPI – 1345  DEZ/2020</t>
  </si>
  <si>
    <t>Forma de Madeirit</t>
  </si>
  <si>
    <t>SINAPI – 101570  DEZ/2020</t>
  </si>
  <si>
    <t>Escoramento</t>
  </si>
  <si>
    <t>SINAPI – 88309  DEZ/2020</t>
  </si>
  <si>
    <t>Pedreiro com encargos</t>
  </si>
  <si>
    <t>SINAPI – 88245  DEZ/2020</t>
  </si>
  <si>
    <t>Armador com encargos</t>
  </si>
  <si>
    <t>SINAPI – 88262  DEZ/2020</t>
  </si>
  <si>
    <t>Carpinteiro com encargos</t>
  </si>
  <si>
    <t>COMPOSIÇÃO 4</t>
  </si>
  <si>
    <t>FORNECIMENTO E INSTALAÇÃO DE MOTOBOMBA CENTRÍFUGA SUBMERSÍVEL PARA REALIZAR O RECALQUE DE ESGOTO SANITÁRIO, TENSÃO 220 V, VAZÃO 20 M³/H, POTÊNCIA 1,0 CV, RECALQUE 2" MODELO SCHNAIDER SÉRIE BCS OU SIMILAR</t>
  </si>
  <si>
    <t>SINAPI – 10588  DEZ/2020</t>
  </si>
  <si>
    <t>BOMBA SUBMERSIVEL, ELETRICA, TRIFASICA, POTENCIA 0,98 HP, DIAMETRO DO ROTOR 142 MM SEMIABERTO, BOCAL DE SAIDA DIAMETRO DE 2 POLEGADAS, HM/Q = 2 M / 32 M3/H A 8 M /16 M3/H</t>
  </si>
  <si>
    <t>un</t>
  </si>
  <si>
    <t>2.0 – MATERIAIS PARA INSTALAÇÃO</t>
  </si>
  <si>
    <t>SINAPI – 1021  DEZ/2020</t>
  </si>
  <si>
    <t>CABO DE COBRE, FLEXIVEL, CLASSE 4 OU 5, ISOLACAO EM PVC/A, ANTICHAMA BWF-B, COBERTURA PVC-ST1, ANTICHAMA BWF-B, 1 CONDUTOR, 0,6/1 KV, SECAO NOMINAL 4 MM2</t>
  </si>
  <si>
    <t>SINAPI – 2685 DEZ/2020</t>
  </si>
  <si>
    <t>ELETRODUTO DE PVC RIGIDO ROSCAVEL DE 1 ",</t>
  </si>
  <si>
    <t>SINAPI – 2370  DEZ/2020</t>
  </si>
  <si>
    <t>DISJUNTOR TIPO NEMA, MONOPOLAR 10 ATE 30A, TENSAO MAXIMA DE 240 V</t>
  </si>
  <si>
    <t>UN</t>
  </si>
  <si>
    <t>SINAPI – 9860  DEZ/2020</t>
  </si>
  <si>
    <t>TUBO PVC, ROSCAVEL, 2", PARA AGUA FRIA PREDIAL</t>
  </si>
  <si>
    <t>SINAPI – 3508 DEZ/2020</t>
  </si>
  <si>
    <t>JOELHO PVC, 90 GRAUS, ROSCAVEL, 2", AGUA FRIA PREDIAL</t>
  </si>
  <si>
    <t>SINAPI – 9893  DEZ/2020</t>
  </si>
  <si>
    <t>UNIAO PVC, ROSCAVEL 2", AGUA FRIA PREDIAL</t>
  </si>
  <si>
    <t>SINAPI –  88247  DEZ/2020</t>
  </si>
  <si>
    <t>AUXILIAR DE ELETRICISTA COM ENCARGOS COMPLEMENTARES</t>
  </si>
  <si>
    <t>SINAPI – 88248  DEZ/2020</t>
  </si>
  <si>
    <t>AUXILIAR DE ENCANADOR COM ENCARGOS COMPLEMENTARES</t>
  </si>
  <si>
    <t>ENCANADOR COM ENCARGOS COMPLEMENTARES</t>
  </si>
  <si>
    <t>SECRETARIA DE INFRAESTRUTURA E SERVIÇOS PÚBLICOS</t>
  </si>
  <si>
    <t>COMPOSIÇÃO LIMPA FOSSAS</t>
  </si>
  <si>
    <t>OBJETO:</t>
  </si>
  <si>
    <t xml:space="preserve"> CAMINHÃO COMBINADO LIMPA FOSSAS </t>
  </si>
  <si>
    <t>COMPOSIÇÃO LIMPA FOSSA</t>
  </si>
  <si>
    <t>UN\MÊS</t>
  </si>
  <si>
    <t xml:space="preserve">DISCRIMINAÇÃO\CODIGO: </t>
  </si>
  <si>
    <t>1. 00037747</t>
  </si>
  <si>
    <t>2. 00037774</t>
  </si>
  <si>
    <t>VEICULO +  EQUIPAMENTOS</t>
  </si>
  <si>
    <t>LIMPEZA E DESOBSTRUÇÃO  MECANIZADA DE FOSSAS</t>
  </si>
  <si>
    <t>CAMINHAO TRUCADO, PESO BRUTO TOTAL 23000 KG, CARGA UTIL MAXIMA 15935 KG, DISTANCIA ENTRE EIXOS 4,80 M, POTENCIA 230 CV (INCLUI CABINE E CHASSI, NAO INCLUI CARROCERIA)</t>
  </si>
  <si>
    <t xml:space="preserve">EQUIPAMENTO DE LIMPEZA COMBINADO (VACUO/ALTA PRESSAO) 95% VACUO, TANQUE 7000 L, BOMBA 140 KGF/CM2 66 L/MIN COM MOTOR INDEPENDENTE A DIESEL DE 60 CV (INCLUI MONTAGEM, NAO INCLUI CAMINHAO) </t>
  </si>
  <si>
    <t>Tabela de Cálculo do retorno do Cápital Empregado - Valor Médio - BNDS - Finame</t>
  </si>
  <si>
    <t xml:space="preserve">A - </t>
  </si>
  <si>
    <t>DEPRECIAÇÃO MENSAL DO VEÍCULO E EQUIPAMENTO</t>
  </si>
  <si>
    <t>(veiculo)</t>
  </si>
  <si>
    <t>(Equipamentos)</t>
  </si>
  <si>
    <t>A1-</t>
  </si>
  <si>
    <t>Preço de Aquisição (R$) (Tabela Sinapi - 12/2020)</t>
  </si>
  <si>
    <t xml:space="preserve">A2- </t>
  </si>
  <si>
    <t>Tempo de vida útil (meses) (tabela de normas - Receita Federal)</t>
  </si>
  <si>
    <t xml:space="preserve">A3- </t>
  </si>
  <si>
    <t>Previsão de recuperação na venda do bem usado (%) (tabela de normas - Receita Federal)</t>
  </si>
  <si>
    <t xml:space="preserve">A4- </t>
  </si>
  <si>
    <t>Tempo do Contrato (Meses)</t>
  </si>
  <si>
    <t xml:space="preserve">A5- </t>
  </si>
  <si>
    <t>CUSTO MENSAL</t>
  </si>
  <si>
    <t xml:space="preserve">B - </t>
  </si>
  <si>
    <t>JUROS PELO CAPITAL EMPREGADO - Retorno do investimento</t>
  </si>
  <si>
    <t>B1-</t>
  </si>
  <si>
    <t xml:space="preserve"> Taxa mensal de juros (%) (Considerados Juros do INCC mensal conf. Tabela)</t>
  </si>
  <si>
    <t>B2-</t>
  </si>
  <si>
    <t xml:space="preserve"> Juros sobre a depreciação / aluguel </t>
  </si>
  <si>
    <t xml:space="preserve">C - </t>
  </si>
  <si>
    <t>CONSERVAÇÃO E MANUTENÇÃO / SEGUROS</t>
  </si>
  <si>
    <t>Aplicação para ajuste do equipamento (%) - Parcela da Depreciação 20% - não considerar</t>
  </si>
  <si>
    <t>Total financiado</t>
  </si>
  <si>
    <t>C1-</t>
  </si>
  <si>
    <t xml:space="preserve">aplicação para Seguro do equipamento (3,0 %) - </t>
  </si>
  <si>
    <t>TX Juros</t>
  </si>
  <si>
    <t>C2-</t>
  </si>
  <si>
    <t>Peças acessórios e materiais de manutenção do veiculo 1% a.m</t>
  </si>
  <si>
    <t>C3-</t>
  </si>
  <si>
    <t>Seguro de Caminhão (2019/Novo)</t>
  </si>
  <si>
    <t>C4-</t>
  </si>
  <si>
    <t>Incidência mensal.</t>
  </si>
  <si>
    <t xml:space="preserve">D - </t>
  </si>
  <si>
    <t>COMBUSTÍVEL</t>
  </si>
  <si>
    <t>D1-</t>
  </si>
  <si>
    <t>Preço litro de combustível (DIESEL)</t>
  </si>
  <si>
    <t>D2-</t>
  </si>
  <si>
    <t>Prazo para Contrato (meses)</t>
  </si>
  <si>
    <t>D3-</t>
  </si>
  <si>
    <t>Km/l</t>
  </si>
  <si>
    <t>D4-</t>
  </si>
  <si>
    <t xml:space="preserve">km contrato </t>
  </si>
  <si>
    <t xml:space="preserve">D5- </t>
  </si>
  <si>
    <t>COMBUSTÍVEL MÊS</t>
  </si>
  <si>
    <t xml:space="preserve">E- </t>
  </si>
  <si>
    <t>LUBRIFICANTES</t>
  </si>
  <si>
    <t>E1-</t>
  </si>
  <si>
    <t xml:space="preserve">Franquia da troca de óleo </t>
  </si>
  <si>
    <t>E2-</t>
  </si>
  <si>
    <t>Preço do filtro de óleo (R$)</t>
  </si>
  <si>
    <t>E3-</t>
  </si>
  <si>
    <t>Preço do litro de óleo (R$)</t>
  </si>
  <si>
    <t>E4-</t>
  </si>
  <si>
    <t>Quantidade de litros de óleo</t>
  </si>
  <si>
    <t>E5-</t>
  </si>
  <si>
    <t>Quantidades  de filtro óleo por troca.</t>
  </si>
  <si>
    <t>E6-</t>
  </si>
  <si>
    <t>Quantidades de troca</t>
  </si>
  <si>
    <t>E7-</t>
  </si>
  <si>
    <t>LUBRIFICANTES MÊS</t>
  </si>
  <si>
    <t xml:space="preserve">    F - </t>
  </si>
  <si>
    <t>PNEUS/CÂMARAS</t>
  </si>
  <si>
    <t>F1-</t>
  </si>
  <si>
    <t>Quantidade de pneus</t>
  </si>
  <si>
    <t>F2-</t>
  </si>
  <si>
    <t>Vida útil do pneu em km</t>
  </si>
  <si>
    <t>F3-</t>
  </si>
  <si>
    <t>Quilometragem do contrato</t>
  </si>
  <si>
    <t>F4-</t>
  </si>
  <si>
    <t>Preço do pneu</t>
  </si>
  <si>
    <t xml:space="preserve">F5- </t>
  </si>
  <si>
    <t>PNEUS/CÂMARA</t>
  </si>
  <si>
    <t xml:space="preserve">    G- </t>
  </si>
  <si>
    <t>MOTORISTA</t>
  </si>
  <si>
    <t>G1-</t>
  </si>
  <si>
    <t xml:space="preserve">10512 MOTORISTA DE CAMINHAO COM ENCARGOS COMPLEMENTARES </t>
  </si>
  <si>
    <t>G2-</t>
  </si>
  <si>
    <t>41084 - Servente p/ operar a mangueira do caminhão, com encargos complementares</t>
  </si>
  <si>
    <t>G3-</t>
  </si>
  <si>
    <t>ADICIONAL DE INSALUBRIDADE - 20% Servente</t>
  </si>
  <si>
    <t>G4-</t>
  </si>
  <si>
    <t xml:space="preserve">H- </t>
  </si>
  <si>
    <t>TOTAL SEM B.D.I</t>
  </si>
  <si>
    <t>H 1-</t>
  </si>
  <si>
    <t>Número de dias por Mes</t>
  </si>
  <si>
    <t xml:space="preserve">I - </t>
  </si>
  <si>
    <t>TOTAL C/ BDI 28,82%</t>
  </si>
  <si>
    <t>I 1-</t>
  </si>
  <si>
    <t>J-</t>
  </si>
  <si>
    <t>CUSTO UNITÁRIO POR DIÁRIA</t>
  </si>
  <si>
    <t>CAMINHÃO</t>
  </si>
  <si>
    <t>EQUIPAMENTO</t>
  </si>
  <si>
    <t>SEM BDI</t>
  </si>
  <si>
    <t>COM BDI</t>
  </si>
  <si>
    <t xml:space="preserve">  ORÇAMENTO BÁSICO (MODELO - SEM PREÇO)</t>
  </si>
  <si>
    <t>4813 - insumos (SINAPI - 07/2020)</t>
  </si>
  <si>
    <t>99814 (SINAPI - 07/2020)</t>
  </si>
  <si>
    <t>( 000.000,00)</t>
  </si>
  <si>
    <t xml:space="preserve">                                    SECRETARIA DE EDUCAÇÃO</t>
  </si>
  <si>
    <t xml:space="preserve">COMPOSIÇÃO DO BDI </t>
  </si>
  <si>
    <t>COMPOSIÇÃO ANALÍTICA DA TAXA DE BONIFICAÇÃO E DESPESAS INDIRETAS (BDI)  DESONERADO</t>
  </si>
  <si>
    <t>CUSTOS INDIRETOS</t>
  </si>
  <si>
    <t>Administração Central (AC)</t>
  </si>
  <si>
    <t>Seguros + Garantia (S+G)</t>
  </si>
  <si>
    <t>Despesas Financeiras (DF)</t>
  </si>
  <si>
    <t>Risco (R )</t>
  </si>
  <si>
    <r>
      <rPr>
        <sz val="12"/>
        <rFont val="Times New Roman"/>
        <charset val="134"/>
      </rPr>
      <t>IMPOSTOS/TRIBUTOS</t>
    </r>
    <r>
      <rPr>
        <sz val="12"/>
        <rFont val="Times New Roman"/>
        <charset val="134"/>
      </rPr>
      <t xml:space="preserve"> (I)</t>
    </r>
  </si>
  <si>
    <t>Pis</t>
  </si>
  <si>
    <t>Cofins</t>
  </si>
  <si>
    <t>ISS</t>
  </si>
  <si>
    <t>CPRB (INSS)</t>
  </si>
  <si>
    <r>
      <rPr>
        <sz val="12"/>
        <rFont val="Times New Roman"/>
        <charset val="134"/>
      </rPr>
      <t xml:space="preserve">LUCRO  </t>
    </r>
    <r>
      <rPr>
        <sz val="12"/>
        <rFont val="Times New Roman"/>
        <charset val="134"/>
      </rPr>
      <t>(L)</t>
    </r>
  </si>
  <si>
    <t>Lucro</t>
  </si>
  <si>
    <t>TAXA TOTAL DE BDI</t>
  </si>
  <si>
    <t>Segundo Acórdão 2622/2013 do Tribunal de Contas da União – TCU, o cálculo do BDI deve ser feito da seguinte maneira:</t>
  </si>
</sst>
</file>

<file path=xl/styles.xml><?xml version="1.0" encoding="utf-8"?>
<styleSheet xmlns="http://schemas.openxmlformats.org/spreadsheetml/2006/main">
  <numFmts count="25">
    <numFmt numFmtId="176" formatCode="_-* #,##0.00_-;\-* #,##0.00_-;_-* \-??_-;_-@_-"/>
    <numFmt numFmtId="177" formatCode="0.00000"/>
    <numFmt numFmtId="178" formatCode="_-* #,##0.00_-;\-* #,##0.00_-;_-* &quot;-&quot;??_-;_-@_-"/>
    <numFmt numFmtId="179" formatCode="_-* #,##0_-;\-* #,##0_-;_-* &quot;-&quot;_-;_-@_-"/>
    <numFmt numFmtId="180" formatCode="_-&quot;R$&quot;* #,##0.00_-;\-&quot;R$&quot;* #,##0.00_-;_-&quot;R$&quot;* &quot;-&quot;??_-;_-@_-"/>
    <numFmt numFmtId="181" formatCode="_(* #,##0.00_);_(* \(#,##0.00\);_(* \-??_);_(@_)"/>
    <numFmt numFmtId="182" formatCode="_(* #,##0.0000_);_(* \(#,##0.0000\);_(* \-??_);_(@_)"/>
    <numFmt numFmtId="183" formatCode="* #,##0.00\ ;* \(#,##0.00\);* \-#\ ;@\ "/>
    <numFmt numFmtId="184" formatCode="&quot;R$&quot;\ #,##0.00_);[Red]\(&quot;R$&quot;\ #,##0.00\)"/>
    <numFmt numFmtId="185" formatCode="[$R$-416]\ #,##0.00;[Red]\-[$R$-416]\ #,##0.00"/>
    <numFmt numFmtId="186" formatCode="&quot;R$ &quot;#,##0.00"/>
    <numFmt numFmtId="187" formatCode="&quot;R$&quot;#,##0.00_);[Red]&quot;(R$&quot;#,##0.00\)"/>
    <numFmt numFmtId="188" formatCode="0.00_);[Red]\(0.00\)"/>
    <numFmt numFmtId="189" formatCode="_(* #,##0_);_(* \(#,##0\);_(* \-??_);_(@_)"/>
    <numFmt numFmtId="190" formatCode="_(* #,##0_);_(* \(#,##0\);_(* \-_);_(@_)"/>
    <numFmt numFmtId="191" formatCode="_-* #,##0.00_-;\-* #,##0.00_-;_-* \-?_-;_-@_-"/>
    <numFmt numFmtId="192" formatCode="0.0"/>
    <numFmt numFmtId="193" formatCode="_-* #,###.##000_-;\-* #,###.##000_-;_-* \-??_-;_-@_-"/>
    <numFmt numFmtId="194" formatCode="&quot;R$ &quot;#,##0.00;&quot;-R$ &quot;#,##0.00"/>
    <numFmt numFmtId="195" formatCode="[$-416]mmm/yy"/>
    <numFmt numFmtId="196" formatCode="&quot;R$&quot;#,###.00_);[Red]&quot;(R$&quot;#,###.00\)"/>
    <numFmt numFmtId="197" formatCode="[$R$-416]\ #,###.##000;[Red]\-[$R$-416]\ #,###.##000"/>
    <numFmt numFmtId="198" formatCode="0.00;0.00"/>
    <numFmt numFmtId="199" formatCode="#,##0;#,##0"/>
    <numFmt numFmtId="200" formatCode="&quot;R$&quot;\ #,##0.00_);[Red]\(&quot;R$&quot;\ #,###.00\)"/>
  </numFmts>
  <fonts count="56">
    <font>
      <sz val="10"/>
      <color rgb="FF000000"/>
      <name val="Times New Roman"/>
      <charset val="1"/>
    </font>
    <font>
      <sz val="11"/>
      <color rgb="FF800000"/>
      <name val="Calibri"/>
      <charset val="134"/>
    </font>
    <font>
      <b/>
      <sz val="14"/>
      <color rgb="FF000000"/>
      <name val="Times New Roman"/>
      <charset val="134"/>
    </font>
    <font>
      <b/>
      <sz val="12"/>
      <name val="Times New Roman"/>
      <charset val="134"/>
    </font>
    <font>
      <sz val="12"/>
      <name val="Times New Roman"/>
      <charset val="134"/>
    </font>
    <font>
      <sz val="11"/>
      <name val="Century Gothic"/>
      <charset val="134"/>
    </font>
    <font>
      <sz val="11"/>
      <name val="Calibri"/>
      <charset val="134"/>
    </font>
    <font>
      <sz val="11"/>
      <color rgb="FF000000"/>
      <name val="Century Gothic"/>
      <charset val="134"/>
    </font>
    <font>
      <sz val="11"/>
      <color rgb="FF000000"/>
      <name val="Calibri"/>
      <charset val="134"/>
    </font>
    <font>
      <sz val="12"/>
      <name val="Times New Roman"/>
      <charset val="1"/>
    </font>
    <font>
      <sz val="12"/>
      <color rgb="FF000000"/>
      <name val="Times New Roman"/>
      <charset val="1"/>
    </font>
    <font>
      <b/>
      <sz val="12"/>
      <name val="Times New Roman"/>
      <charset val="1"/>
    </font>
    <font>
      <sz val="12"/>
      <color rgb="FF000000"/>
      <name val="Times New Roman"/>
      <charset val="134"/>
    </font>
    <font>
      <b/>
      <sz val="12"/>
      <color rgb="FF000000"/>
      <name val="Times New Roman"/>
      <charset val="134"/>
    </font>
    <font>
      <b/>
      <sz val="12"/>
      <color rgb="FFFF0000"/>
      <name val="Times New Roman"/>
      <charset val="134"/>
    </font>
    <font>
      <b/>
      <sz val="14"/>
      <name val="Times New Roman"/>
      <charset val="134"/>
    </font>
    <font>
      <b/>
      <sz val="14"/>
      <name val="Times New Roman"/>
      <charset val="1"/>
    </font>
    <font>
      <b/>
      <sz val="16"/>
      <name val="Times New Roman"/>
      <charset val="1"/>
    </font>
    <font>
      <b/>
      <u/>
      <sz val="12"/>
      <name val="Times New Roman"/>
      <charset val="1"/>
    </font>
    <font>
      <b/>
      <sz val="12"/>
      <color rgb="FF000000"/>
      <name val="Times New Roman"/>
      <charset val="1"/>
    </font>
    <font>
      <sz val="10"/>
      <name val="Times New Roman"/>
      <charset val="1"/>
    </font>
    <font>
      <b/>
      <sz val="10"/>
      <name val="Times New Roman"/>
      <charset val="1"/>
    </font>
    <font>
      <sz val="11"/>
      <color theme="1"/>
      <name val="Calibri"/>
      <charset val="0"/>
      <scheme val="minor"/>
    </font>
    <font>
      <sz val="10"/>
      <name val="Arial"/>
      <charset val="134"/>
    </font>
    <font>
      <b/>
      <sz val="10"/>
      <color rgb="FFFFFFFF"/>
      <name val="Times New Roman"/>
      <charset val="1"/>
    </font>
    <font>
      <sz val="11"/>
      <color theme="0"/>
      <name val="Calibri"/>
      <charset val="0"/>
      <scheme val="minor"/>
    </font>
    <font>
      <b/>
      <sz val="10"/>
      <color rgb="FF000000"/>
      <name val="Times New Roman"/>
      <charset val="1"/>
    </font>
    <font>
      <sz val="10"/>
      <name val="Arial"/>
      <charset val="1"/>
    </font>
    <font>
      <sz val="18"/>
      <color rgb="FF000000"/>
      <name val="Times New Roman"/>
      <charset val="1"/>
    </font>
    <font>
      <b/>
      <sz val="11"/>
      <color rgb="FFFFFFFF"/>
      <name val="Calibri"/>
      <charset val="0"/>
      <scheme val="minor"/>
    </font>
    <font>
      <b/>
      <sz val="11"/>
      <color rgb="FFFA7D00"/>
      <name val="Calibri"/>
      <charset val="0"/>
      <scheme val="minor"/>
    </font>
    <font>
      <b/>
      <sz val="11"/>
      <color rgb="FF3F3F3F"/>
      <name val="Calibri"/>
      <charset val="0"/>
      <scheme val="minor"/>
    </font>
    <font>
      <b/>
      <sz val="13"/>
      <color theme="3"/>
      <name val="Calibri"/>
      <charset val="134"/>
      <scheme val="minor"/>
    </font>
    <font>
      <sz val="11"/>
      <color rgb="FFFA7D00"/>
      <name val="Calibri"/>
      <charset val="0"/>
      <scheme val="minor"/>
    </font>
    <font>
      <sz val="11"/>
      <color rgb="FFFF0000"/>
      <name val="Calibri"/>
      <charset val="0"/>
      <scheme val="minor"/>
    </font>
    <font>
      <sz val="11"/>
      <color rgb="FF3F3F76"/>
      <name val="Calibri"/>
      <charset val="0"/>
      <scheme val="minor"/>
    </font>
    <font>
      <u/>
      <sz val="11"/>
      <color rgb="FF0000FF"/>
      <name val="Calibri"/>
      <charset val="0"/>
      <scheme val="minor"/>
    </font>
    <font>
      <b/>
      <sz val="15"/>
      <color theme="3"/>
      <name val="Calibri"/>
      <charset val="134"/>
      <scheme val="minor"/>
    </font>
    <font>
      <sz val="11"/>
      <color rgb="FF9C0006"/>
      <name val="Calibri"/>
      <charset val="0"/>
      <scheme val="minor"/>
    </font>
    <font>
      <u/>
      <sz val="11"/>
      <color rgb="FF800080"/>
      <name val="Calibri"/>
      <charset val="0"/>
      <scheme val="minor"/>
    </font>
    <font>
      <i/>
      <sz val="11"/>
      <color rgb="FF7F7F7F"/>
      <name val="Calibri"/>
      <charset val="0"/>
      <scheme val="minor"/>
    </font>
    <font>
      <b/>
      <sz val="11"/>
      <color theme="3"/>
      <name val="Calibri"/>
      <charset val="134"/>
      <scheme val="minor"/>
    </font>
    <font>
      <sz val="11"/>
      <color rgb="FF9C6500"/>
      <name val="Calibri"/>
      <charset val="0"/>
      <scheme val="minor"/>
    </font>
    <font>
      <b/>
      <sz val="18"/>
      <color theme="3"/>
      <name val="Calibri"/>
      <charset val="134"/>
      <scheme val="minor"/>
    </font>
    <font>
      <sz val="10"/>
      <color rgb="FFFFFFFF"/>
      <name val="Times New Roman"/>
      <charset val="1"/>
    </font>
    <font>
      <sz val="10"/>
      <color theme="1"/>
      <name val="Calibri"/>
      <charset val="134"/>
      <scheme val="minor"/>
    </font>
    <font>
      <b/>
      <sz val="11"/>
      <color theme="1"/>
      <name val="Calibri"/>
      <charset val="0"/>
      <scheme val="minor"/>
    </font>
    <font>
      <sz val="11"/>
      <color rgb="FF006100"/>
      <name val="Calibri"/>
      <charset val="0"/>
      <scheme val="minor"/>
    </font>
    <font>
      <sz val="10"/>
      <color rgb="FF996600"/>
      <name val="Times New Roman"/>
      <charset val="1"/>
    </font>
    <font>
      <sz val="10"/>
      <color rgb="FFCC0000"/>
      <name val="Times New Roman"/>
      <charset val="1"/>
    </font>
    <font>
      <i/>
      <sz val="10"/>
      <color rgb="FF808080"/>
      <name val="Times New Roman"/>
      <charset val="1"/>
    </font>
    <font>
      <u/>
      <sz val="10"/>
      <color rgb="FF0000EE"/>
      <name val="Times New Roman"/>
      <charset val="1"/>
    </font>
    <font>
      <sz val="11"/>
      <color rgb="FF333333"/>
      <name val="Calibri"/>
      <charset val="1"/>
    </font>
    <font>
      <sz val="10"/>
      <color rgb="FF006600"/>
      <name val="Times New Roman"/>
      <charset val="1"/>
    </font>
    <font>
      <sz val="11"/>
      <color rgb="FF000000"/>
      <name val="Calibri"/>
      <charset val="1"/>
    </font>
    <font>
      <sz val="10"/>
      <color rgb="FF333333"/>
      <name val="Times New Roman"/>
      <charset val="1"/>
    </font>
  </fonts>
  <fills count="49">
    <fill>
      <patternFill patternType="none"/>
    </fill>
    <fill>
      <patternFill patternType="gray125"/>
    </fill>
    <fill>
      <patternFill patternType="solid">
        <fgColor rgb="FF9DC3E6"/>
        <bgColor rgb="FFC0C0C0"/>
      </patternFill>
    </fill>
    <fill>
      <patternFill patternType="solid">
        <fgColor rgb="FFBDD7EE"/>
        <bgColor rgb="FFDDDDDD"/>
      </patternFill>
    </fill>
    <fill>
      <patternFill patternType="solid">
        <fgColor rgb="FFFFFFFF"/>
        <bgColor rgb="FFFFFFCC"/>
      </patternFill>
    </fill>
    <fill>
      <patternFill patternType="solid">
        <fgColor rgb="FFFFFF00"/>
        <bgColor rgb="FFFFFF00"/>
      </patternFill>
    </fill>
    <fill>
      <patternFill patternType="solid">
        <fgColor theme="0"/>
        <bgColor indexed="64"/>
      </patternFill>
    </fill>
    <fill>
      <patternFill patternType="solid">
        <fgColor theme="4" tint="0.4"/>
        <bgColor rgb="FFC0C0C0"/>
      </patternFill>
    </fill>
    <fill>
      <patternFill patternType="solid">
        <fgColor theme="4" tint="0.4"/>
        <bgColor indexed="64"/>
      </patternFill>
    </fill>
    <fill>
      <patternFill patternType="solid">
        <fgColor theme="0"/>
        <bgColor rgb="FFC0C0C0"/>
      </patternFill>
    </fill>
    <fill>
      <patternFill patternType="solid">
        <fgColor theme="4" tint="0.4"/>
        <bgColor rgb="FFDDDDDD"/>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C0000"/>
        <bgColor rgb="FFFF0000"/>
      </patternFill>
    </fill>
    <fill>
      <patternFill patternType="solid">
        <fgColor theme="4"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rgb="FFFFEB9C"/>
        <bgColor indexed="64"/>
      </patternFill>
    </fill>
    <fill>
      <patternFill patternType="solid">
        <fgColor rgb="FF000000"/>
        <bgColor rgb="FF003300"/>
      </patternFill>
    </fill>
    <fill>
      <patternFill patternType="solid">
        <fgColor theme="9"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DDDDDD"/>
        <bgColor rgb="FFBDD7EE"/>
      </patternFill>
    </fill>
    <fill>
      <patternFill patternType="solid">
        <fgColor theme="5" tint="0.399975585192419"/>
        <bgColor indexed="64"/>
      </patternFill>
    </fill>
    <fill>
      <patternFill patternType="solid">
        <fgColor rgb="FFFFFFCC"/>
        <bgColor rgb="FFFFFFFF"/>
      </patternFill>
    </fill>
    <fill>
      <patternFill patternType="solid">
        <fgColor theme="5"/>
        <bgColor indexed="64"/>
      </patternFill>
    </fill>
    <fill>
      <patternFill patternType="solid">
        <fgColor theme="6" tint="0.599993896298105"/>
        <bgColor indexed="64"/>
      </patternFill>
    </fill>
    <fill>
      <patternFill patternType="solid">
        <fgColor rgb="FFFFCCCC"/>
        <bgColor rgb="FFDDDDDD"/>
      </patternFill>
    </fill>
    <fill>
      <patternFill patternType="solid">
        <fgColor rgb="FF808080"/>
        <bgColor rgb="FF969696"/>
      </patternFill>
    </fill>
    <fill>
      <patternFill patternType="solid">
        <fgColor rgb="FFCCFFCC"/>
        <bgColor rgb="FFCCFFFF"/>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s>
  <cellStyleXfs count="81">
    <xf numFmtId="0" fontId="0" fillId="0" borderId="0"/>
    <xf numFmtId="176" fontId="27" fillId="0" borderId="0" applyBorder="0" applyProtection="0"/>
    <xf numFmtId="179" fontId="23" fillId="0" borderId="0" applyBorder="0" applyAlignment="0" applyProtection="0"/>
    <xf numFmtId="0" fontId="22" fillId="19" borderId="0" applyNumberFormat="0" applyBorder="0" applyAlignment="0" applyProtection="0">
      <alignment vertical="center"/>
    </xf>
    <xf numFmtId="0" fontId="23" fillId="0" borderId="0"/>
    <xf numFmtId="9" fontId="27" fillId="0" borderId="0" applyBorder="0" applyProtection="0"/>
    <xf numFmtId="0" fontId="33" fillId="0" borderId="25" applyNumberFormat="0" applyFill="0" applyAlignment="0" applyProtection="0">
      <alignment vertical="center"/>
    </xf>
    <xf numFmtId="0" fontId="29" fillId="23" borderId="21" applyNumberFormat="0" applyAlignment="0" applyProtection="0">
      <alignment vertical="center"/>
    </xf>
    <xf numFmtId="178" fontId="23" fillId="0" borderId="0" applyBorder="0" applyAlignment="0" applyProtection="0"/>
    <xf numFmtId="0" fontId="22" fillId="14" borderId="0" applyNumberFormat="0" applyBorder="0" applyAlignment="0" applyProtection="0">
      <alignment vertical="center"/>
    </xf>
    <xf numFmtId="180" fontId="23" fillId="0" borderId="0" applyBorder="0" applyAlignment="0" applyProtection="0"/>
    <xf numFmtId="0" fontId="39" fillId="0" borderId="0" applyNumberFormat="0" applyFill="0" applyBorder="0" applyAlignment="0" applyProtection="0">
      <alignment vertical="center"/>
    </xf>
    <xf numFmtId="0" fontId="10" fillId="0" borderId="0" applyBorder="0" applyProtection="0"/>
    <xf numFmtId="0" fontId="36" fillId="0" borderId="0" applyNumberFormat="0" applyFill="0" applyBorder="0" applyAlignment="0" applyProtection="0">
      <alignment vertical="center"/>
    </xf>
    <xf numFmtId="0" fontId="45" fillId="32" borderId="27" applyNumberFormat="0" applyFont="0" applyAlignment="0" applyProtection="0">
      <alignment vertical="center"/>
    </xf>
    <xf numFmtId="0" fontId="22" fillId="13" borderId="0" applyNumberFormat="0" applyBorder="0" applyAlignment="0" applyProtection="0">
      <alignment vertical="center"/>
    </xf>
    <xf numFmtId="0" fontId="22" fillId="31" borderId="0" applyNumberFormat="0" applyBorder="0" applyAlignment="0" applyProtection="0">
      <alignment vertical="center"/>
    </xf>
    <xf numFmtId="0" fontId="8" fillId="0" borderId="0"/>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30" borderId="0" applyBorder="0" applyProtection="0"/>
    <xf numFmtId="0" fontId="40" fillId="0" borderId="0" applyNumberFormat="0" applyFill="0" applyBorder="0" applyAlignment="0" applyProtection="0">
      <alignment vertical="center"/>
    </xf>
    <xf numFmtId="0" fontId="37" fillId="0" borderId="24" applyNumberFormat="0" applyFill="0" applyAlignment="0" applyProtection="0">
      <alignment vertical="center"/>
    </xf>
    <xf numFmtId="0" fontId="25" fillId="35" borderId="0" applyNumberFormat="0" applyBorder="0" applyAlignment="0" applyProtection="0">
      <alignment vertical="center"/>
    </xf>
    <xf numFmtId="0" fontId="32" fillId="0" borderId="24" applyNumberFormat="0" applyFill="0" applyAlignment="0" applyProtection="0">
      <alignment vertical="center"/>
    </xf>
    <xf numFmtId="0" fontId="25" fillId="18" borderId="0" applyNumberFormat="0" applyBorder="0" applyAlignment="0" applyProtection="0">
      <alignment vertical="center"/>
    </xf>
    <xf numFmtId="0" fontId="41" fillId="0" borderId="26" applyNumberFormat="0" applyFill="0" applyAlignment="0" applyProtection="0">
      <alignment vertical="center"/>
    </xf>
    <xf numFmtId="0" fontId="25" fillId="27" borderId="0" applyNumberFormat="0" applyBorder="0" applyAlignment="0" applyProtection="0">
      <alignment vertical="center"/>
    </xf>
    <xf numFmtId="0" fontId="41" fillId="0" borderId="0" applyNumberFormat="0" applyFill="0" applyBorder="0" applyAlignment="0" applyProtection="0">
      <alignment vertical="center"/>
    </xf>
    <xf numFmtId="0" fontId="25" fillId="21" borderId="0" applyNumberFormat="0" applyBorder="0" applyAlignment="0" applyProtection="0">
      <alignment vertical="center"/>
    </xf>
    <xf numFmtId="0" fontId="35" fillId="25" borderId="22" applyNumberFormat="0" applyAlignment="0" applyProtection="0">
      <alignment vertical="center"/>
    </xf>
    <xf numFmtId="0" fontId="31" fillId="24" borderId="23" applyNumberFormat="0" applyAlignment="0" applyProtection="0">
      <alignment vertical="center"/>
    </xf>
    <xf numFmtId="0" fontId="30" fillId="24" borderId="22" applyNumberFormat="0" applyAlignment="0" applyProtection="0">
      <alignment vertical="center"/>
    </xf>
    <xf numFmtId="0" fontId="46" fillId="0" borderId="28" applyNumberFormat="0" applyFill="0" applyAlignment="0" applyProtection="0">
      <alignment vertical="center"/>
    </xf>
    <xf numFmtId="0" fontId="22" fillId="40" borderId="0" applyNumberFormat="0" applyBorder="0" applyAlignment="0" applyProtection="0">
      <alignment vertical="center"/>
    </xf>
    <xf numFmtId="0" fontId="47" fillId="39" borderId="0" applyNumberFormat="0" applyBorder="0" applyAlignment="0" applyProtection="0">
      <alignment vertical="center"/>
    </xf>
    <xf numFmtId="0" fontId="38" fillId="26" borderId="0" applyNumberFormat="0" applyBorder="0" applyAlignment="0" applyProtection="0">
      <alignment vertical="center"/>
    </xf>
    <xf numFmtId="0" fontId="42" fillId="29" borderId="0" applyNumberFormat="0" applyBorder="0" applyAlignment="0" applyProtection="0">
      <alignment vertical="center"/>
    </xf>
    <xf numFmtId="0" fontId="22" fillId="17" borderId="0" applyNumberFormat="0" applyBorder="0" applyAlignment="0" applyProtection="0">
      <alignment vertical="center"/>
    </xf>
    <xf numFmtId="0" fontId="25" fillId="22" borderId="0" applyNumberFormat="0" applyBorder="0" applyAlignment="0" applyProtection="0">
      <alignment vertical="center"/>
    </xf>
    <xf numFmtId="0" fontId="22" fillId="37" borderId="0" applyNumberFormat="0" applyBorder="0" applyAlignment="0" applyProtection="0">
      <alignment vertical="center"/>
    </xf>
    <xf numFmtId="0" fontId="25" fillId="16" borderId="0" applyNumberFormat="0" applyBorder="0" applyAlignment="0" applyProtection="0">
      <alignment vertical="center"/>
    </xf>
    <xf numFmtId="0" fontId="22" fillId="28" borderId="0" applyNumberFormat="0" applyBorder="0" applyAlignment="0" applyProtection="0">
      <alignment vertical="center"/>
    </xf>
    <xf numFmtId="0" fontId="25" fillId="44" borderId="0" applyNumberFormat="0" applyBorder="0" applyAlignment="0" applyProtection="0">
      <alignment vertical="center"/>
    </xf>
    <xf numFmtId="0" fontId="48" fillId="43" borderId="0" applyBorder="0" applyProtection="0"/>
    <xf numFmtId="0" fontId="22" fillId="20" borderId="0" applyNumberFormat="0" applyBorder="0" applyAlignment="0" applyProtection="0">
      <alignment vertical="center"/>
    </xf>
    <xf numFmtId="0" fontId="25" fillId="42" borderId="0" applyNumberFormat="0" applyBorder="0" applyAlignment="0" applyProtection="0">
      <alignment vertical="center"/>
    </xf>
    <xf numFmtId="0" fontId="1" fillId="0" borderId="0"/>
    <xf numFmtId="0" fontId="22" fillId="45" borderId="0" applyNumberFormat="0" applyBorder="0" applyAlignment="0" applyProtection="0">
      <alignment vertical="center"/>
    </xf>
    <xf numFmtId="0" fontId="25" fillId="34" borderId="0" applyNumberFormat="0" applyBorder="0" applyAlignment="0" applyProtection="0">
      <alignment vertical="center"/>
    </xf>
    <xf numFmtId="0" fontId="22" fillId="12" borderId="0" applyNumberFormat="0" applyBorder="0" applyAlignment="0" applyProtection="0">
      <alignment vertical="center"/>
    </xf>
    <xf numFmtId="0" fontId="50" fillId="0" borderId="0" applyBorder="0" applyProtection="0"/>
    <xf numFmtId="0" fontId="51" fillId="0" borderId="0" applyBorder="0" applyProtection="0"/>
    <xf numFmtId="0" fontId="25" fillId="38" borderId="0" applyNumberFormat="0" applyBorder="0" applyAlignment="0" applyProtection="0">
      <alignment vertical="center"/>
    </xf>
    <xf numFmtId="0" fontId="22" fillId="11" borderId="0" applyNumberFormat="0" applyBorder="0" applyAlignment="0" applyProtection="0">
      <alignment vertical="center"/>
    </xf>
    <xf numFmtId="0" fontId="25" fillId="33" borderId="0" applyNumberFormat="0" applyBorder="0" applyAlignment="0" applyProtection="0">
      <alignment vertical="center"/>
    </xf>
    <xf numFmtId="0" fontId="25" fillId="36" borderId="0" applyNumberFormat="0" applyBorder="0" applyAlignment="0" applyProtection="0">
      <alignment vertical="center"/>
    </xf>
    <xf numFmtId="0" fontId="44" fillId="47" borderId="0" applyBorder="0" applyProtection="0"/>
    <xf numFmtId="0" fontId="27" fillId="0" borderId="0"/>
    <xf numFmtId="0" fontId="26" fillId="41" borderId="0" applyBorder="0" applyProtection="0"/>
    <xf numFmtId="0" fontId="28" fillId="0" borderId="0" applyBorder="0" applyProtection="0"/>
    <xf numFmtId="0" fontId="26" fillId="0" borderId="0" applyBorder="0" applyProtection="0"/>
    <xf numFmtId="0" fontId="49" fillId="46" borderId="0" applyBorder="0" applyProtection="0"/>
    <xf numFmtId="0" fontId="24" fillId="15" borderId="0" applyBorder="0" applyProtection="0"/>
    <xf numFmtId="183" fontId="52" fillId="0" borderId="0" applyBorder="0" applyProtection="0"/>
    <xf numFmtId="0" fontId="53" fillId="48" borderId="0" applyBorder="0" applyProtection="0"/>
    <xf numFmtId="0" fontId="27" fillId="0" borderId="0"/>
    <xf numFmtId="0" fontId="27" fillId="0" borderId="0"/>
    <xf numFmtId="0" fontId="54" fillId="0" borderId="0"/>
    <xf numFmtId="0" fontId="23" fillId="0" borderId="0"/>
    <xf numFmtId="0" fontId="1" fillId="0" borderId="0"/>
    <xf numFmtId="0" fontId="55" fillId="43" borderId="29" applyProtection="0"/>
    <xf numFmtId="9" fontId="0" fillId="0" borderId="0" applyBorder="0" applyProtection="0"/>
    <xf numFmtId="181" fontId="27" fillId="0" borderId="0" applyBorder="0" applyProtection="0"/>
    <xf numFmtId="183" fontId="27" fillId="0" borderId="0" applyBorder="0" applyProtection="0"/>
    <xf numFmtId="182" fontId="0" fillId="0" borderId="0" applyBorder="0" applyProtection="0"/>
    <xf numFmtId="176" fontId="0" fillId="0" borderId="0" applyBorder="0" applyProtection="0"/>
    <xf numFmtId="181" fontId="0" fillId="0" borderId="0" applyBorder="0" applyProtection="0"/>
    <xf numFmtId="0" fontId="0" fillId="0" borderId="0" applyBorder="0" applyProtection="0"/>
    <xf numFmtId="0" fontId="0" fillId="0" borderId="0" applyBorder="0" applyProtection="0"/>
    <xf numFmtId="0" fontId="49" fillId="0" borderId="0" applyBorder="0" applyProtection="0"/>
  </cellStyleXfs>
  <cellXfs count="415">
    <xf numFmtId="0" fontId="0" fillId="0" borderId="0" xfId="0"/>
    <xf numFmtId="0" fontId="1" fillId="0" borderId="0" xfId="7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3" fillId="2" borderId="6" xfId="4" applyFont="1" applyFill="1" applyBorder="1" applyAlignment="1">
      <alignment horizontal="center"/>
    </xf>
    <xf numFmtId="0" fontId="3" fillId="2" borderId="6" xfId="4" applyFont="1" applyFill="1" applyBorder="1" applyAlignment="1">
      <alignment horizontal="left"/>
    </xf>
    <xf numFmtId="10" fontId="3" fillId="2" borderId="6" xfId="4" applyNumberFormat="1" applyFont="1" applyFill="1" applyBorder="1" applyAlignment="1">
      <alignment horizontal="center" vertical="center"/>
    </xf>
    <xf numFmtId="0" fontId="4" fillId="0" borderId="6" xfId="4" applyFont="1" applyBorder="1" applyAlignment="1">
      <alignment horizontal="center"/>
    </xf>
    <xf numFmtId="0" fontId="4" fillId="0" borderId="6" xfId="4" applyFont="1" applyBorder="1"/>
    <xf numFmtId="10" fontId="4" fillId="0" borderId="6" xfId="4" applyNumberFormat="1" applyFont="1" applyBorder="1" applyAlignment="1">
      <alignment horizontal="center" vertical="center"/>
    </xf>
    <xf numFmtId="0" fontId="1" fillId="0" borderId="5" xfId="70" applyBorder="1"/>
    <xf numFmtId="10" fontId="1" fillId="0" borderId="0" xfId="70" applyNumberFormat="1"/>
    <xf numFmtId="10" fontId="3" fillId="2" borderId="7" xfId="4" applyNumberFormat="1" applyFont="1" applyFill="1" applyBorder="1" applyAlignment="1">
      <alignment horizontal="center" vertical="center"/>
    </xf>
    <xf numFmtId="10" fontId="4" fillId="0" borderId="8" xfId="4" applyNumberFormat="1" applyFont="1" applyBorder="1" applyAlignment="1">
      <alignment horizontal="center" vertical="center"/>
    </xf>
    <xf numFmtId="10" fontId="4" fillId="0" borderId="7" xfId="4" applyNumberFormat="1" applyFont="1" applyBorder="1" applyAlignment="1">
      <alignment horizontal="center" vertical="center"/>
    </xf>
    <xf numFmtId="10" fontId="4" fillId="0" borderId="9" xfId="4" applyNumberFormat="1" applyFont="1" applyBorder="1" applyAlignment="1">
      <alignment horizontal="center" vertical="center"/>
    </xf>
    <xf numFmtId="10" fontId="4" fillId="0" borderId="10" xfId="4" applyNumberFormat="1" applyFont="1" applyBorder="1" applyAlignment="1">
      <alignment horizontal="center" vertical="center"/>
    </xf>
    <xf numFmtId="10" fontId="3" fillId="2" borderId="10" xfId="4" applyNumberFormat="1" applyFont="1" applyFill="1" applyBorder="1" applyAlignment="1">
      <alignment horizontal="center" vertical="center"/>
    </xf>
    <xf numFmtId="0" fontId="4" fillId="0" borderId="6" xfId="4" applyFont="1" applyBorder="1" applyAlignment="1">
      <alignment horizontal="center" vertical="center"/>
    </xf>
    <xf numFmtId="10" fontId="3" fillId="2" borderId="6" xfId="4" applyNumberFormat="1" applyFont="1" applyFill="1" applyBorder="1" applyAlignment="1">
      <alignment horizontal="center"/>
    </xf>
    <xf numFmtId="0" fontId="3" fillId="0" borderId="4" xfId="4" applyFont="1" applyBorder="1" applyAlignment="1">
      <alignment horizontal="center"/>
    </xf>
    <xf numFmtId="0" fontId="3" fillId="0" borderId="0" xfId="4" applyFont="1" applyBorder="1" applyAlignment="1">
      <alignment horizontal="left"/>
    </xf>
    <xf numFmtId="10" fontId="3" fillId="0" borderId="5" xfId="4" applyNumberFormat="1" applyFont="1" applyBorder="1"/>
    <xf numFmtId="0" fontId="4" fillId="0" borderId="4" xfId="4" applyFont="1" applyBorder="1" applyAlignment="1">
      <alignment horizontal="left" vertical="center" wrapText="1"/>
    </xf>
    <xf numFmtId="0" fontId="4" fillId="0" borderId="0" xfId="4" applyFont="1" applyBorder="1" applyAlignment="1">
      <alignment horizontal="left" vertical="center" wrapText="1"/>
    </xf>
    <xf numFmtId="0" fontId="4" fillId="0" borderId="5" xfId="4" applyFont="1" applyBorder="1" applyAlignment="1">
      <alignment horizontal="left" vertical="center" wrapText="1"/>
    </xf>
    <xf numFmtId="0" fontId="5" fillId="0" borderId="4" xfId="4" applyFont="1" applyBorder="1"/>
    <xf numFmtId="0" fontId="6" fillId="0" borderId="0" xfId="70" applyFont="1" applyBorder="1"/>
    <xf numFmtId="0" fontId="5" fillId="0" borderId="0" xfId="4" applyFont="1" applyBorder="1"/>
    <xf numFmtId="0" fontId="5" fillId="0" borderId="5" xfId="4" applyFont="1" applyBorder="1"/>
    <xf numFmtId="0" fontId="5" fillId="0" borderId="11" xfId="17" applyFont="1" applyBorder="1"/>
    <xf numFmtId="0" fontId="5" fillId="0" borderId="12" xfId="17" applyFont="1" applyBorder="1"/>
    <xf numFmtId="10" fontId="5" fillId="0" borderId="12" xfId="17" applyNumberFormat="1" applyFont="1" applyBorder="1"/>
    <xf numFmtId="0" fontId="6" fillId="0" borderId="13" xfId="70" applyFont="1" applyBorder="1"/>
    <xf numFmtId="0" fontId="5" fillId="0" borderId="0" xfId="17" applyFont="1" applyBorder="1"/>
    <xf numFmtId="10" fontId="5" fillId="0" borderId="0" xfId="17" applyNumberFormat="1" applyFont="1" applyBorder="1"/>
    <xf numFmtId="0" fontId="7" fillId="0" borderId="0" xfId="17" applyFont="1" applyBorder="1"/>
    <xf numFmtId="0" fontId="7" fillId="0" borderId="0" xfId="17" applyFont="1"/>
    <xf numFmtId="10" fontId="7" fillId="0" borderId="0" xfId="17" applyNumberFormat="1" applyFont="1"/>
    <xf numFmtId="0" fontId="8" fillId="0" borderId="0" xfId="17"/>
    <xf numFmtId="10" fontId="8" fillId="0" borderId="0" xfId="17" applyNumberFormat="1"/>
    <xf numFmtId="0" fontId="1" fillId="0" borderId="0" xfId="70" applyAlignment="1">
      <alignment horizontal="right"/>
    </xf>
    <xf numFmtId="0" fontId="9" fillId="0" borderId="0" xfId="0" applyFont="1" applyAlignment="1">
      <alignment vertical="center"/>
    </xf>
    <xf numFmtId="0" fontId="10" fillId="0" borderId="0" xfId="0" applyFont="1"/>
    <xf numFmtId="0" fontId="11" fillId="0" borderId="0" xfId="0" applyFont="1" applyBorder="1" applyAlignment="1">
      <alignment vertical="center"/>
    </xf>
    <xf numFmtId="0" fontId="9" fillId="0" borderId="0" xfId="0" applyFont="1"/>
    <xf numFmtId="4" fontId="9" fillId="0" borderId="0" xfId="0" applyNumberFormat="1" applyFont="1" applyAlignment="1">
      <alignment horizontal="center"/>
    </xf>
    <xf numFmtId="4" fontId="9" fillId="0" borderId="0" xfId="0" applyNumberFormat="1" applyFont="1" applyAlignment="1">
      <alignment horizontal="center" vertical="center"/>
    </xf>
    <xf numFmtId="0" fontId="3" fillId="0" borderId="7" xfId="0" applyFont="1" applyBorder="1" applyAlignment="1">
      <alignment horizontal="center"/>
    </xf>
    <xf numFmtId="0" fontId="11" fillId="0" borderId="9" xfId="0" applyFont="1" applyBorder="1" applyAlignment="1">
      <alignment horizontal="center" vertical="center"/>
    </xf>
    <xf numFmtId="0" fontId="3" fillId="0" borderId="10" xfId="0" applyFont="1" applyBorder="1" applyAlignment="1">
      <alignment horizontal="center" vertical="center"/>
    </xf>
    <xf numFmtId="0" fontId="11" fillId="0" borderId="6" xfId="0" applyFont="1" applyBorder="1" applyAlignment="1" applyProtection="1">
      <alignment horizontal="center" vertical="center"/>
    </xf>
    <xf numFmtId="0" fontId="4" fillId="0" borderId="6" xfId="0" applyFont="1" applyBorder="1" applyAlignment="1" applyProtection="1">
      <alignment horizontal="left" vertical="center" wrapText="1"/>
    </xf>
    <xf numFmtId="0" fontId="11"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10" fontId="11" fillId="3" borderId="6" xfId="0" applyNumberFormat="1" applyFont="1" applyFill="1" applyBorder="1" applyAlignment="1">
      <alignment horizontal="center" vertical="center"/>
    </xf>
    <xf numFmtId="0" fontId="11" fillId="3" borderId="6" xfId="68" applyFont="1" applyFill="1" applyBorder="1" applyAlignment="1">
      <alignment horizontal="center" vertical="center" wrapText="1"/>
    </xf>
    <xf numFmtId="0" fontId="11" fillId="3" borderId="6" xfId="68" applyFont="1" applyFill="1" applyBorder="1" applyAlignment="1">
      <alignment horizontal="left" vertical="center" wrapText="1"/>
    </xf>
    <xf numFmtId="185" fontId="11" fillId="3" borderId="6" xfId="68" applyNumberFormat="1" applyFont="1" applyFill="1" applyBorder="1" applyAlignment="1">
      <alignment horizontal="center" vertical="center" wrapText="1"/>
    </xf>
    <xf numFmtId="49" fontId="9"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4" fontId="9" fillId="4" borderId="6" xfId="0" applyNumberFormat="1" applyFont="1" applyFill="1" applyBorder="1" applyAlignment="1">
      <alignment horizontal="center" vertical="center" wrapText="1"/>
    </xf>
    <xf numFmtId="186" fontId="9" fillId="0" borderId="6" xfId="0" applyNumberFormat="1" applyFont="1" applyBorder="1" applyAlignment="1">
      <alignment horizontal="center" vertical="center" wrapText="1"/>
    </xf>
    <xf numFmtId="0" fontId="4" fillId="0" borderId="6" xfId="0" applyFont="1" applyBorder="1" applyAlignment="1">
      <alignment horizontal="center" vertical="center"/>
    </xf>
    <xf numFmtId="0" fontId="12" fillId="4" borderId="6" xfId="0" applyFont="1" applyFill="1" applyBorder="1" applyAlignment="1">
      <alignment horizontal="center" vertical="center" wrapText="1"/>
    </xf>
    <xf numFmtId="186" fontId="9" fillId="0" borderId="6" xfId="0" applyNumberFormat="1" applyFont="1" applyBorder="1" applyAlignment="1">
      <alignment horizontal="center" vertical="center"/>
    </xf>
    <xf numFmtId="0" fontId="11" fillId="0" borderId="6" xfId="0" applyFont="1" applyBorder="1" applyAlignment="1">
      <alignment vertical="center"/>
    </xf>
    <xf numFmtId="0" fontId="11" fillId="0" borderId="6" xfId="0" applyFont="1" applyBorder="1" applyAlignment="1">
      <alignment horizontal="center" vertical="center"/>
    </xf>
    <xf numFmtId="0" fontId="9" fillId="0" borderId="6" xfId="68" applyFont="1" applyBorder="1" applyAlignment="1">
      <alignment horizontal="center" vertical="center" wrapText="1"/>
    </xf>
    <xf numFmtId="0" fontId="12" fillId="0" borderId="6" xfId="0" applyFont="1" applyBorder="1" applyAlignment="1">
      <alignment horizontal="center" vertical="center" wrapText="1"/>
    </xf>
    <xf numFmtId="0" fontId="4" fillId="0" borderId="6" xfId="68" applyFont="1" applyBorder="1" applyAlignment="1">
      <alignment horizontal="left" vertical="center" wrapText="1"/>
    </xf>
    <xf numFmtId="4" fontId="9" fillId="0" borderId="6" xfId="0" applyNumberFormat="1" applyFont="1" applyBorder="1" applyAlignment="1">
      <alignment horizontal="center" vertical="center"/>
    </xf>
    <xf numFmtId="0" fontId="12" fillId="0" borderId="6" xfId="0" applyFont="1" applyBorder="1" applyAlignment="1">
      <alignment horizontal="justify" vertical="center" wrapText="1"/>
    </xf>
    <xf numFmtId="4" fontId="9" fillId="0" borderId="6" xfId="0" applyNumberFormat="1" applyFont="1" applyBorder="1" applyAlignment="1">
      <alignment horizontal="center" vertical="center" wrapText="1"/>
    </xf>
    <xf numFmtId="0" fontId="12" fillId="0" borderId="6" xfId="0" applyFont="1" applyBorder="1" applyAlignment="1">
      <alignment wrapText="1"/>
    </xf>
    <xf numFmtId="0" fontId="9" fillId="4" borderId="6"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6" xfId="0" applyFont="1" applyFill="1" applyBorder="1" applyAlignment="1">
      <alignment horizontal="justify" vertical="center" wrapText="1"/>
    </xf>
    <xf numFmtId="0" fontId="9" fillId="0" borderId="6" xfId="0" applyFont="1" applyBorder="1" applyAlignment="1">
      <alignment horizontal="center" vertical="center"/>
    </xf>
    <xf numFmtId="187" fontId="9" fillId="0" borderId="6" xfId="0" applyNumberFormat="1" applyFont="1" applyBorder="1" applyAlignment="1">
      <alignment horizontal="center" vertical="center"/>
    </xf>
    <xf numFmtId="187" fontId="9" fillId="0" borderId="6" xfId="0" applyNumberFormat="1" applyFont="1" applyBorder="1" applyAlignment="1">
      <alignment horizontal="center" vertical="center" wrapText="1"/>
    </xf>
    <xf numFmtId="0" fontId="12" fillId="4" borderId="6" xfId="0" applyFont="1" applyFill="1" applyBorder="1" applyAlignment="1">
      <alignment horizontal="justify" vertical="center" wrapText="1"/>
    </xf>
    <xf numFmtId="0" fontId="4" fillId="4" borderId="6" xfId="0" applyFont="1" applyFill="1" applyBorder="1" applyAlignment="1">
      <alignment horizontal="center" vertical="center"/>
    </xf>
    <xf numFmtId="0" fontId="12" fillId="0" borderId="6" xfId="0" applyFont="1" applyBorder="1" applyAlignment="1">
      <alignment vertical="center" wrapText="1"/>
    </xf>
    <xf numFmtId="0" fontId="4" fillId="0" borderId="6" xfId="68" applyFont="1" applyBorder="1" applyAlignment="1">
      <alignment horizontal="center" vertical="center" wrapText="1"/>
    </xf>
    <xf numFmtId="0" fontId="11" fillId="0" borderId="6" xfId="68" applyFont="1" applyBorder="1" applyAlignment="1">
      <alignment horizontal="center" vertical="center" wrapText="1"/>
    </xf>
    <xf numFmtId="0" fontId="11" fillId="0" borderId="6" xfId="68" applyFont="1" applyBorder="1" applyAlignment="1">
      <alignment horizontal="left" vertical="center" wrapText="1"/>
    </xf>
    <xf numFmtId="0" fontId="10" fillId="0" borderId="6" xfId="68" applyFont="1" applyBorder="1"/>
    <xf numFmtId="2" fontId="9" fillId="0" borderId="6" xfId="0" applyNumberFormat="1" applyFont="1" applyBorder="1" applyAlignment="1">
      <alignment horizontal="center" vertical="center"/>
    </xf>
    <xf numFmtId="0" fontId="9" fillId="0" borderId="6" xfId="68" applyFont="1" applyBorder="1" applyAlignment="1">
      <alignment horizontal="left" vertical="center" wrapText="1"/>
    </xf>
    <xf numFmtId="0" fontId="10" fillId="0" borderId="6" xfId="0" applyFont="1" applyBorder="1" applyAlignment="1">
      <alignment wrapText="1"/>
    </xf>
    <xf numFmtId="176" fontId="4" fillId="4" borderId="6"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187" fontId="9" fillId="0" borderId="6" xfId="1" applyNumberFormat="1" applyFont="1" applyBorder="1" applyAlignment="1" applyProtection="1">
      <alignment horizontal="center" vertical="center"/>
    </xf>
    <xf numFmtId="4" fontId="9" fillId="0" borderId="6" xfId="1" applyNumberFormat="1" applyFont="1" applyBorder="1" applyAlignment="1" applyProtection="1">
      <alignment horizontal="center" vertical="center"/>
    </xf>
    <xf numFmtId="0" fontId="4" fillId="0" borderId="6" xfId="68" applyFont="1" applyBorder="1" applyAlignment="1">
      <alignment horizontal="center" vertical="center"/>
    </xf>
    <xf numFmtId="0" fontId="12" fillId="4" borderId="6"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9" fillId="0" borderId="6" xfId="68" applyFont="1" applyBorder="1" applyAlignment="1">
      <alignment horizontal="center" vertical="center"/>
    </xf>
    <xf numFmtId="2" fontId="10" fillId="0" borderId="6" xfId="0" applyNumberFormat="1" applyFont="1" applyBorder="1" applyAlignment="1">
      <alignment horizontal="center" vertical="center" wrapText="1"/>
    </xf>
    <xf numFmtId="187" fontId="10" fillId="0" borderId="6" xfId="0" applyNumberFormat="1" applyFont="1" applyBorder="1" applyAlignment="1">
      <alignment horizontal="center" vertical="center" wrapText="1"/>
    </xf>
    <xf numFmtId="0" fontId="12" fillId="4" borderId="6" xfId="0" applyFont="1" applyFill="1" applyBorder="1" applyAlignment="1">
      <alignment horizontal="justify" wrapText="1"/>
    </xf>
    <xf numFmtId="2" fontId="9" fillId="0" borderId="6" xfId="1" applyNumberFormat="1" applyFont="1" applyBorder="1" applyAlignment="1" applyProtection="1">
      <alignment horizontal="center" vertical="center"/>
    </xf>
    <xf numFmtId="188" fontId="9" fillId="0" borderId="6" xfId="0" applyNumberFormat="1" applyFont="1" applyBorder="1" applyAlignment="1">
      <alignment horizontal="center" vertical="center"/>
    </xf>
    <xf numFmtId="0" fontId="9" fillId="0" borderId="6" xfId="0" applyFont="1" applyBorder="1" applyAlignment="1">
      <alignment horizontal="justify" vertical="center" wrapText="1"/>
    </xf>
    <xf numFmtId="0" fontId="11" fillId="3" borderId="6" xfId="0" applyFont="1" applyFill="1" applyBorder="1" applyAlignment="1">
      <alignment horizontal="right" vertical="center"/>
    </xf>
    <xf numFmtId="187" fontId="11" fillId="3" borderId="6" xfId="0" applyNumberFormat="1" applyFont="1" applyFill="1" applyBorder="1" applyAlignment="1">
      <alignment horizontal="center" vertical="center"/>
    </xf>
    <xf numFmtId="0" fontId="11" fillId="0" borderId="7" xfId="0" applyFont="1" applyBorder="1" applyAlignment="1">
      <alignment horizontal="center" vertical="center" wrapText="1"/>
    </xf>
    <xf numFmtId="0" fontId="3" fillId="0" borderId="7"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right" vertical="center"/>
    </xf>
    <xf numFmtId="0" fontId="12" fillId="0" borderId="0" xfId="0" applyFont="1" applyAlignment="1">
      <alignment vertical="center"/>
    </xf>
    <xf numFmtId="0" fontId="12" fillId="0" borderId="0" xfId="0" applyFont="1" applyAlignment="1"/>
    <xf numFmtId="0" fontId="3" fillId="4" borderId="7" xfId="68" applyFont="1" applyFill="1" applyBorder="1" applyAlignment="1">
      <alignment horizontal="center" wrapText="1"/>
    </xf>
    <xf numFmtId="0" fontId="3" fillId="4" borderId="9" xfId="68" applyFont="1" applyFill="1" applyBorder="1" applyAlignment="1">
      <alignment horizontal="center" vertical="center" wrapText="1"/>
    </xf>
    <xf numFmtId="4" fontId="4" fillId="4" borderId="6" xfId="69" applyNumberFormat="1" applyFont="1" applyFill="1" applyBorder="1" applyAlignment="1">
      <alignment horizontal="center" vertical="center" wrapText="1"/>
    </xf>
    <xf numFmtId="4" fontId="4" fillId="4" borderId="6" xfId="69" applyNumberFormat="1" applyFont="1" applyFill="1" applyBorder="1" applyAlignment="1">
      <alignment horizontal="left" vertical="center" wrapText="1"/>
    </xf>
    <xf numFmtId="0" fontId="3" fillId="2" borderId="6" xfId="69" applyFont="1" applyFill="1" applyBorder="1" applyAlignment="1">
      <alignment horizontal="center" vertical="center" wrapText="1"/>
    </xf>
    <xf numFmtId="0" fontId="13" fillId="2" borderId="6" xfId="0" applyFont="1" applyFill="1" applyBorder="1" applyAlignment="1">
      <alignment horizontal="center" vertical="center" wrapText="1"/>
    </xf>
    <xf numFmtId="0" fontId="3" fillId="2" borderId="6" xfId="69" applyFont="1" applyFill="1" applyBorder="1" applyAlignment="1">
      <alignment horizontal="center" vertical="center"/>
    </xf>
    <xf numFmtId="0" fontId="3" fillId="0" borderId="6" xfId="68" applyFont="1" applyBorder="1" applyAlignment="1">
      <alignment horizontal="center" vertical="center" wrapText="1"/>
    </xf>
    <xf numFmtId="0" fontId="3" fillId="4" borderId="6" xfId="68" applyFont="1" applyFill="1" applyBorder="1" applyAlignment="1">
      <alignment horizontal="center" vertical="center"/>
    </xf>
    <xf numFmtId="0" fontId="4" fillId="0" borderId="12" xfId="0" applyFont="1" applyBorder="1" applyAlignment="1">
      <alignment horizontal="center" wrapText="1"/>
    </xf>
    <xf numFmtId="0" fontId="3" fillId="3" borderId="6" xfId="68" applyFont="1" applyFill="1" applyBorder="1" applyAlignment="1">
      <alignment horizontal="center" vertical="center"/>
    </xf>
    <xf numFmtId="0" fontId="3" fillId="3" borderId="6" xfId="68" applyFont="1" applyFill="1" applyBorder="1" applyAlignment="1">
      <alignment horizontal="left" vertical="center" wrapText="1"/>
    </xf>
    <xf numFmtId="0" fontId="3" fillId="3" borderId="6" xfId="0" applyFont="1" applyFill="1" applyBorder="1" applyAlignment="1">
      <alignment horizontal="center" vertical="center"/>
    </xf>
    <xf numFmtId="0" fontId="4" fillId="0" borderId="8" xfId="0" applyFont="1" applyBorder="1" applyAlignment="1"/>
    <xf numFmtId="0" fontId="4" fillId="0" borderId="14" xfId="0" applyFont="1" applyBorder="1" applyAlignment="1"/>
    <xf numFmtId="0" fontId="4" fillId="0" borderId="6" xfId="68" applyFont="1" applyBorder="1" applyAlignment="1">
      <alignment horizontal="left" vertical="center"/>
    </xf>
    <xf numFmtId="176" fontId="12" fillId="0" borderId="6" xfId="0" applyNumberFormat="1" applyFont="1" applyBorder="1" applyAlignment="1"/>
    <xf numFmtId="181" fontId="12" fillId="0" borderId="6" xfId="0" applyNumberFormat="1" applyFont="1" applyBorder="1" applyAlignment="1"/>
    <xf numFmtId="0" fontId="14" fillId="5" borderId="0" xfId="0" applyFont="1" applyFill="1" applyAlignment="1"/>
    <xf numFmtId="0" fontId="12" fillId="0" borderId="6" xfId="0" applyFont="1" applyBorder="1" applyAlignment="1"/>
    <xf numFmtId="181" fontId="4" fillId="0" borderId="6" xfId="75" applyNumberFormat="1" applyFont="1" applyBorder="1" applyAlignment="1" applyProtection="1">
      <alignment horizontal="right" vertical="center"/>
    </xf>
    <xf numFmtId="2" fontId="12" fillId="0" borderId="6" xfId="0" applyNumberFormat="1" applyFont="1" applyBorder="1" applyAlignment="1"/>
    <xf numFmtId="0" fontId="14" fillId="4" borderId="0" xfId="0" applyFont="1" applyFill="1" applyAlignment="1"/>
    <xf numFmtId="0" fontId="12" fillId="4" borderId="6" xfId="0" applyFont="1" applyFill="1" applyBorder="1" applyAlignment="1"/>
    <xf numFmtId="10" fontId="4" fillId="0" borderId="6" xfId="72" applyNumberFormat="1" applyFont="1" applyBorder="1" applyAlignment="1" applyProtection="1">
      <alignment horizontal="right" vertical="center"/>
    </xf>
    <xf numFmtId="10" fontId="4" fillId="0" borderId="6" xfId="5" applyNumberFormat="1" applyFont="1" applyBorder="1" applyProtection="1"/>
    <xf numFmtId="176" fontId="4" fillId="0" borderId="6" xfId="76" applyFont="1" applyBorder="1" applyAlignment="1" applyProtection="1">
      <alignment horizontal="right" vertical="center"/>
    </xf>
    <xf numFmtId="0" fontId="3" fillId="0" borderId="6" xfId="68" applyFont="1" applyBorder="1" applyAlignment="1">
      <alignment horizontal="center" vertical="center"/>
    </xf>
    <xf numFmtId="0" fontId="3" fillId="0" borderId="6" xfId="68" applyFont="1" applyBorder="1" applyAlignment="1">
      <alignment vertical="center"/>
    </xf>
    <xf numFmtId="181" fontId="3" fillId="0" borderId="6" xfId="47" applyNumberFormat="1" applyFont="1" applyBorder="1" applyAlignment="1">
      <alignment vertical="center"/>
    </xf>
    <xf numFmtId="176" fontId="12" fillId="0" borderId="0" xfId="0" applyNumberFormat="1" applyFont="1" applyAlignment="1"/>
    <xf numFmtId="0" fontId="4" fillId="0" borderId="6" xfId="68" applyFont="1" applyBorder="1" applyAlignment="1">
      <alignment vertical="center"/>
    </xf>
    <xf numFmtId="0" fontId="3" fillId="2" borderId="6" xfId="68" applyFont="1" applyFill="1" applyBorder="1" applyAlignment="1">
      <alignment horizontal="center" vertical="center"/>
    </xf>
    <xf numFmtId="0" fontId="3" fillId="2" borderId="6" xfId="68" applyFont="1" applyFill="1" applyBorder="1" applyAlignment="1">
      <alignment horizontal="left" vertical="center"/>
    </xf>
    <xf numFmtId="0" fontId="4" fillId="0" borderId="6" xfId="68" applyFont="1" applyBorder="1" applyAlignment="1">
      <alignment vertical="center" wrapText="1"/>
    </xf>
    <xf numFmtId="181" fontId="3" fillId="0" borderId="6" xfId="68" applyNumberFormat="1" applyFont="1" applyBorder="1" applyAlignment="1">
      <alignment vertical="center"/>
    </xf>
    <xf numFmtId="2" fontId="3" fillId="0" borderId="6" xfId="0" applyNumberFormat="1" applyFont="1" applyBorder="1" applyAlignment="1"/>
    <xf numFmtId="0" fontId="4" fillId="0" borderId="6" xfId="0" applyFont="1" applyBorder="1" applyAlignment="1"/>
    <xf numFmtId="181" fontId="4" fillId="0" borderId="6" xfId="75" applyNumberFormat="1" applyFont="1" applyBorder="1" applyAlignment="1" applyProtection="1">
      <alignment vertical="center"/>
    </xf>
    <xf numFmtId="2" fontId="4" fillId="0" borderId="6" xfId="1" applyNumberFormat="1" applyFont="1" applyBorder="1" applyProtection="1"/>
    <xf numFmtId="176" fontId="12" fillId="0" borderId="6" xfId="1" applyFont="1" applyBorder="1" applyAlignment="1" applyProtection="1">
      <alignment horizontal="right" vertical="center"/>
    </xf>
    <xf numFmtId="176" fontId="12" fillId="0" borderId="6" xfId="1" applyFont="1" applyBorder="1" applyAlignment="1" applyProtection="1">
      <alignment vertical="center"/>
    </xf>
    <xf numFmtId="176" fontId="3" fillId="0" borderId="6" xfId="76" applyFont="1" applyBorder="1" applyAlignment="1" applyProtection="1">
      <alignment vertical="center"/>
    </xf>
    <xf numFmtId="176" fontId="13" fillId="0" borderId="6" xfId="1" applyFont="1" applyBorder="1" applyAlignment="1" applyProtection="1">
      <alignment vertical="center"/>
    </xf>
    <xf numFmtId="2" fontId="3" fillId="0" borderId="6" xfId="68" applyNumberFormat="1" applyFont="1" applyBorder="1" applyAlignment="1">
      <alignment vertical="center"/>
    </xf>
    <xf numFmtId="189" fontId="4" fillId="0" borderId="6" xfId="75" applyNumberFormat="1" applyFont="1" applyBorder="1" applyAlignment="1" applyProtection="1">
      <alignment vertical="center"/>
    </xf>
    <xf numFmtId="190" fontId="4" fillId="0" borderId="6" xfId="68" applyNumberFormat="1" applyFont="1" applyBorder="1" applyAlignment="1">
      <alignment vertical="center"/>
    </xf>
    <xf numFmtId="181" fontId="4" fillId="0" borderId="6" xfId="68" applyNumberFormat="1" applyFont="1" applyBorder="1" applyAlignment="1">
      <alignment vertical="center"/>
    </xf>
    <xf numFmtId="191" fontId="3" fillId="0" borderId="6" xfId="68" applyNumberFormat="1" applyFont="1" applyBorder="1" applyAlignment="1">
      <alignment vertical="center"/>
    </xf>
    <xf numFmtId="176" fontId="4" fillId="0" borderId="6" xfId="76" applyFont="1" applyBorder="1" applyAlignment="1" applyProtection="1">
      <alignment vertical="center"/>
    </xf>
    <xf numFmtId="193" fontId="4" fillId="0" borderId="6" xfId="76" applyNumberFormat="1" applyFont="1" applyBorder="1" applyAlignment="1" applyProtection="1">
      <alignment vertical="center"/>
    </xf>
    <xf numFmtId="0" fontId="3" fillId="2" borderId="8" xfId="68" applyFont="1" applyFill="1" applyBorder="1" applyAlignment="1">
      <alignment vertical="center"/>
    </xf>
    <xf numFmtId="194" fontId="3" fillId="2" borderId="14" xfId="68" applyNumberFormat="1" applyFont="1" applyFill="1" applyBorder="1" applyAlignment="1">
      <alignment vertical="center"/>
    </xf>
    <xf numFmtId="0" fontId="3" fillId="2" borderId="15" xfId="68" applyFont="1" applyFill="1" applyBorder="1" applyAlignment="1">
      <alignment vertical="center"/>
    </xf>
    <xf numFmtId="0" fontId="3" fillId="4" borderId="6" xfId="68" applyFont="1" applyFill="1" applyBorder="1" applyAlignment="1">
      <alignment vertical="center"/>
    </xf>
    <xf numFmtId="176" fontId="12" fillId="4" borderId="6" xfId="0" applyNumberFormat="1" applyFont="1" applyFill="1" applyBorder="1" applyAlignment="1"/>
    <xf numFmtId="0" fontId="3" fillId="2" borderId="6" xfId="68" applyFont="1" applyFill="1" applyBorder="1" applyAlignment="1">
      <alignment vertical="center"/>
    </xf>
    <xf numFmtId="0" fontId="3" fillId="0" borderId="6" xfId="68" applyFont="1" applyBorder="1" applyAlignment="1">
      <alignment horizontal="right" vertical="center"/>
    </xf>
    <xf numFmtId="176" fontId="3" fillId="0" borderId="0" xfId="68" applyNumberFormat="1" applyFont="1" applyAlignment="1">
      <alignment vertical="center"/>
    </xf>
    <xf numFmtId="0" fontId="12" fillId="0" borderId="14" xfId="0" applyFont="1" applyBorder="1" applyAlignment="1"/>
    <xf numFmtId="0" fontId="12" fillId="0" borderId="15" xfId="0" applyFont="1" applyBorder="1" applyAlignment="1"/>
    <xf numFmtId="0" fontId="12" fillId="4" borderId="0" xfId="0" applyFont="1" applyFill="1" applyAlignment="1"/>
    <xf numFmtId="0" fontId="12" fillId="0" borderId="2" xfId="0" applyFont="1" applyBorder="1" applyAlignment="1">
      <alignment horizontal="right"/>
    </xf>
    <xf numFmtId="0" fontId="12" fillId="0" borderId="0" xfId="0" applyFont="1" applyBorder="1" applyAlignment="1"/>
    <xf numFmtId="176" fontId="12" fillId="0" borderId="0" xfId="1" applyFont="1" applyBorder="1" applyAlignment="1" applyProtection="1">
      <alignment horizontal="center"/>
    </xf>
    <xf numFmtId="0" fontId="12" fillId="0" borderId="0" xfId="0" applyFont="1" applyBorder="1" applyAlignment="1">
      <alignment horizontal="center"/>
    </xf>
    <xf numFmtId="0" fontId="3" fillId="0" borderId="8"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6" xfId="0" applyFont="1" applyBorder="1" applyAlignment="1" applyProtection="1">
      <alignment horizontal="center" vertical="center" wrapText="1"/>
    </xf>
    <xf numFmtId="0" fontId="12" fillId="0" borderId="6" xfId="0" applyFont="1" applyBorder="1" applyAlignment="1">
      <alignment horizontal="left" vertical="center" wrapText="1"/>
    </xf>
    <xf numFmtId="195" fontId="4" fillId="0" borderId="6" xfId="0" applyNumberFormat="1" applyFont="1" applyBorder="1" applyAlignment="1">
      <alignment horizontal="center" vertical="center"/>
    </xf>
    <xf numFmtId="0" fontId="4" fillId="0" borderId="6" xfId="0" applyFont="1" applyBorder="1" applyAlignment="1" applyProtection="1">
      <alignment horizontal="center" vertical="center"/>
    </xf>
    <xf numFmtId="0" fontId="12" fillId="0" borderId="15" xfId="0" applyFont="1" applyBorder="1" applyAlignment="1">
      <alignment horizontal="left" vertical="center"/>
    </xf>
    <xf numFmtId="0" fontId="12" fillId="0" borderId="6" xfId="0" applyFont="1" applyBorder="1" applyAlignment="1">
      <alignment horizontal="center" vertical="center"/>
    </xf>
    <xf numFmtId="0" fontId="13" fillId="3" borderId="6"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0" borderId="6" xfId="0" applyFont="1" applyBorder="1" applyAlignment="1">
      <alignment horizontal="left" vertical="center"/>
    </xf>
    <xf numFmtId="0" fontId="12" fillId="0" borderId="15" xfId="0" applyFont="1" applyBorder="1" applyAlignment="1">
      <alignment horizontal="center" vertical="center"/>
    </xf>
    <xf numFmtId="177" fontId="12" fillId="0" borderId="6"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14" fillId="0" borderId="0" xfId="0" applyFont="1" applyAlignment="1"/>
    <xf numFmtId="0" fontId="13" fillId="4" borderId="6" xfId="0" applyFont="1" applyFill="1" applyBorder="1" applyAlignment="1">
      <alignment horizontal="right" vertical="center"/>
    </xf>
    <xf numFmtId="2" fontId="13" fillId="4" borderId="6" xfId="0" applyNumberFormat="1" applyFont="1" applyFill="1" applyBorder="1" applyAlignment="1">
      <alignment horizontal="center" vertical="center"/>
    </xf>
    <xf numFmtId="0" fontId="13" fillId="4" borderId="6" xfId="0" applyFont="1" applyFill="1" applyBorder="1" applyAlignment="1">
      <alignment horizontal="right" vertical="center" wrapText="1"/>
    </xf>
    <xf numFmtId="0" fontId="12" fillId="0" borderId="6" xfId="0" applyFont="1" applyBorder="1" applyAlignment="1">
      <alignment vertical="center"/>
    </xf>
    <xf numFmtId="194" fontId="13" fillId="4" borderId="6" xfId="0" applyNumberFormat="1" applyFont="1" applyFill="1" applyBorder="1" applyAlignment="1">
      <alignment horizontal="center" vertical="center"/>
    </xf>
    <xf numFmtId="0" fontId="12" fillId="0" borderId="0" xfId="0" applyFont="1" applyBorder="1" applyAlignment="1">
      <alignment horizontal="center" wrapText="1"/>
    </xf>
    <xf numFmtId="176" fontId="12" fillId="0" borderId="0" xfId="1" applyFont="1" applyBorder="1" applyAlignment="1" applyProtection="1"/>
    <xf numFmtId="176"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2" fontId="12" fillId="0" borderId="0" xfId="0" applyNumberFormat="1" applyFont="1" applyBorder="1" applyAlignment="1">
      <alignment horizontal="center" vertical="center"/>
    </xf>
    <xf numFmtId="0" fontId="12" fillId="0" borderId="0" xfId="0" applyFont="1" applyBorder="1" applyAlignment="1">
      <alignment horizontal="right"/>
    </xf>
    <xf numFmtId="0" fontId="9" fillId="6" borderId="0" xfId="0" applyFont="1" applyFill="1" applyAlignment="1">
      <alignment vertical="center"/>
    </xf>
    <xf numFmtId="187" fontId="9" fillId="0" borderId="0" xfId="0" applyNumberFormat="1" applyFont="1" applyAlignment="1">
      <alignment horizontal="center" vertical="center"/>
    </xf>
    <xf numFmtId="10" fontId="11" fillId="0" borderId="0" xfId="5" applyNumberFormat="1" applyFont="1" applyAlignment="1">
      <alignment horizontal="center" vertical="center"/>
    </xf>
    <xf numFmtId="0" fontId="15" fillId="0" borderId="7" xfId="0" applyFont="1" applyBorder="1" applyAlignment="1">
      <alignment horizontal="center"/>
    </xf>
    <xf numFmtId="187" fontId="15" fillId="0" borderId="7" xfId="0" applyNumberFormat="1" applyFont="1" applyBorder="1" applyAlignment="1">
      <alignment horizontal="center"/>
    </xf>
    <xf numFmtId="0" fontId="16" fillId="0" borderId="9" xfId="0" applyFont="1" applyBorder="1" applyAlignment="1">
      <alignment horizontal="center" vertical="center"/>
    </xf>
    <xf numFmtId="187" fontId="16" fillId="0" borderId="9" xfId="0" applyNumberFormat="1" applyFont="1" applyBorder="1" applyAlignment="1">
      <alignment horizontal="center" vertical="center"/>
    </xf>
    <xf numFmtId="0" fontId="15" fillId="0" borderId="10" xfId="0" applyFont="1" applyBorder="1" applyAlignment="1">
      <alignment horizontal="center" vertical="center"/>
    </xf>
    <xf numFmtId="187" fontId="15" fillId="0" borderId="10" xfId="0" applyNumberFormat="1" applyFont="1" applyBorder="1" applyAlignment="1">
      <alignment horizontal="center" vertical="center"/>
    </xf>
    <xf numFmtId="0" fontId="11" fillId="0" borderId="10" xfId="0" applyFont="1" applyBorder="1" applyAlignment="1" applyProtection="1">
      <alignment horizontal="center" vertical="center"/>
    </xf>
    <xf numFmtId="187" fontId="4" fillId="0" borderId="6" xfId="0" applyNumberFormat="1" applyFont="1" applyBorder="1" applyAlignment="1" applyProtection="1">
      <alignment horizontal="center" vertical="center" wrapText="1"/>
    </xf>
    <xf numFmtId="0" fontId="11" fillId="7" borderId="6"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0" xfId="0" applyFont="1" applyFill="1" applyBorder="1" applyAlignment="1">
      <alignment horizontal="center" vertical="center"/>
    </xf>
    <xf numFmtId="187" fontId="11" fillId="7" borderId="10" xfId="0" applyNumberFormat="1" applyFont="1" applyFill="1" applyBorder="1" applyAlignment="1">
      <alignment horizontal="center" vertical="center"/>
    </xf>
    <xf numFmtId="0" fontId="3" fillId="7" borderId="6" xfId="0" applyFont="1" applyFill="1" applyBorder="1" applyAlignment="1">
      <alignment horizontal="center" vertical="center" wrapText="1"/>
    </xf>
    <xf numFmtId="187" fontId="3" fillId="7"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10" xfId="0" applyFont="1" applyFill="1" applyBorder="1" applyAlignment="1">
      <alignment horizontal="justify" vertical="center" wrapText="1"/>
    </xf>
    <xf numFmtId="0" fontId="4" fillId="6" borderId="10" xfId="0" applyFont="1" applyFill="1" applyBorder="1" applyAlignment="1">
      <alignment horizontal="center" vertical="center"/>
    </xf>
    <xf numFmtId="4" fontId="9" fillId="6" borderId="10" xfId="0" applyNumberFormat="1" applyFont="1" applyFill="1" applyBorder="1" applyAlignment="1">
      <alignment horizontal="center" vertical="center"/>
    </xf>
    <xf numFmtId="186" fontId="9" fillId="6" borderId="10" xfId="0" applyNumberFormat="1" applyFont="1" applyFill="1" applyBorder="1" applyAlignment="1">
      <alignment horizontal="center" vertical="center" wrapText="1"/>
    </xf>
    <xf numFmtId="186" fontId="9" fillId="6" borderId="6" xfId="0" applyNumberFormat="1" applyFont="1" applyFill="1" applyBorder="1" applyAlignment="1">
      <alignment horizontal="center" vertical="center" wrapText="1"/>
    </xf>
    <xf numFmtId="187" fontId="9" fillId="6" borderId="6" xfId="0" applyNumberFormat="1" applyFont="1" applyFill="1" applyBorder="1" applyAlignment="1">
      <alignment horizontal="center" vertical="center" wrapText="1"/>
    </xf>
    <xf numFmtId="0" fontId="12" fillId="6" borderId="6" xfId="0" applyFont="1" applyFill="1" applyBorder="1" applyAlignment="1">
      <alignment horizontal="justify" vertical="center" wrapText="1"/>
    </xf>
    <xf numFmtId="0" fontId="4" fillId="6" borderId="6" xfId="0" applyFont="1" applyFill="1" applyBorder="1" applyAlignment="1">
      <alignment horizontal="center" vertical="center"/>
    </xf>
    <xf numFmtId="4" fontId="9" fillId="6" borderId="6" xfId="0" applyNumberFormat="1" applyFont="1" applyFill="1" applyBorder="1" applyAlignment="1">
      <alignment horizontal="center" vertical="center"/>
    </xf>
    <xf numFmtId="0" fontId="9" fillId="6" borderId="6" xfId="68" applyFont="1" applyFill="1" applyBorder="1" applyAlignment="1">
      <alignment horizontal="center" vertical="center" wrapText="1"/>
    </xf>
    <xf numFmtId="0" fontId="4" fillId="6" borderId="6" xfId="68" applyFont="1" applyFill="1" applyBorder="1" applyAlignment="1">
      <alignment horizontal="center" vertical="center" wrapText="1"/>
    </xf>
    <xf numFmtId="0" fontId="12" fillId="6" borderId="6" xfId="0" applyFont="1" applyFill="1" applyBorder="1" applyAlignment="1">
      <alignment vertical="center" wrapText="1"/>
    </xf>
    <xf numFmtId="2" fontId="9" fillId="6" borderId="6" xfId="0" applyNumberFormat="1" applyFont="1" applyFill="1" applyBorder="1" applyAlignment="1">
      <alignment horizontal="center" vertical="center"/>
    </xf>
    <xf numFmtId="186" fontId="9" fillId="6" borderId="6" xfId="0" applyNumberFormat="1" applyFont="1" applyFill="1" applyBorder="1" applyAlignment="1">
      <alignment horizontal="center" vertical="center"/>
    </xf>
    <xf numFmtId="187" fontId="9" fillId="6" borderId="6" xfId="0" applyNumberFormat="1" applyFont="1" applyFill="1" applyBorder="1" applyAlignment="1">
      <alignment horizontal="center" vertical="center"/>
    </xf>
    <xf numFmtId="188" fontId="9" fillId="6" borderId="6" xfId="0" applyNumberFormat="1" applyFont="1" applyFill="1" applyBorder="1" applyAlignment="1">
      <alignment horizontal="center" vertical="center"/>
    </xf>
    <xf numFmtId="4" fontId="9" fillId="6" borderId="6" xfId="1" applyNumberFormat="1" applyFont="1" applyFill="1" applyBorder="1" applyAlignment="1" applyProtection="1">
      <alignment horizontal="center" vertical="center"/>
    </xf>
    <xf numFmtId="187" fontId="9" fillId="6" borderId="6" xfId="1" applyNumberFormat="1" applyFont="1" applyFill="1" applyBorder="1" applyAlignment="1" applyProtection="1">
      <alignment horizontal="center" vertical="center"/>
    </xf>
    <xf numFmtId="49" fontId="9" fillId="6" borderId="6"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6" xfId="0" applyFont="1" applyFill="1" applyBorder="1" applyAlignment="1">
      <alignment horizontal="justify" vertical="center" wrapText="1"/>
    </xf>
    <xf numFmtId="4" fontId="9" fillId="6" borderId="6" xfId="0" applyNumberFormat="1" applyFont="1" applyFill="1" applyBorder="1" applyAlignment="1">
      <alignment horizontal="center" vertical="center" wrapText="1"/>
    </xf>
    <xf numFmtId="0" fontId="4" fillId="6" borderId="6" xfId="68" applyFont="1" applyFill="1" applyBorder="1" applyAlignment="1">
      <alignment horizontal="center" vertical="center"/>
    </xf>
    <xf numFmtId="2" fontId="10" fillId="6" borderId="6" xfId="0" applyNumberFormat="1" applyFont="1" applyFill="1" applyBorder="1" applyAlignment="1">
      <alignment horizontal="center" vertical="center" wrapText="1"/>
    </xf>
    <xf numFmtId="187" fontId="10" fillId="6" borderId="6" xfId="0" applyNumberFormat="1" applyFont="1" applyFill="1" applyBorder="1" applyAlignment="1">
      <alignment horizontal="center" vertical="center" wrapText="1"/>
    </xf>
    <xf numFmtId="0" fontId="4" fillId="6" borderId="6" xfId="68" applyFont="1" applyFill="1" applyBorder="1" applyAlignment="1">
      <alignment horizontal="left" vertical="center" wrapText="1"/>
    </xf>
    <xf numFmtId="2" fontId="9" fillId="6" borderId="6" xfId="1" applyNumberFormat="1" applyFont="1" applyFill="1" applyBorder="1" applyAlignment="1" applyProtection="1">
      <alignment horizontal="center" vertical="center"/>
    </xf>
    <xf numFmtId="0" fontId="12" fillId="6" borderId="6" xfId="0" applyFont="1" applyFill="1" applyBorder="1" applyAlignment="1">
      <alignment wrapText="1"/>
    </xf>
    <xf numFmtId="187" fontId="9" fillId="6" borderId="6" xfId="0" applyNumberFormat="1" applyFont="1" applyFill="1" applyBorder="1" applyAlignment="1">
      <alignment vertical="center"/>
    </xf>
    <xf numFmtId="10" fontId="16" fillId="0" borderId="7" xfId="5" applyNumberFormat="1" applyFont="1" applyBorder="1" applyAlignment="1">
      <alignment horizontal="center" vertical="center"/>
    </xf>
    <xf numFmtId="10" fontId="16" fillId="0" borderId="9" xfId="5" applyNumberFormat="1" applyFont="1" applyBorder="1" applyAlignment="1">
      <alignment horizontal="center" vertical="center"/>
    </xf>
    <xf numFmtId="10" fontId="16" fillId="0" borderId="10" xfId="5" applyNumberFormat="1" applyFont="1" applyBorder="1" applyAlignment="1">
      <alignment horizontal="center" vertical="center"/>
    </xf>
    <xf numFmtId="10" fontId="11" fillId="0" borderId="6" xfId="5" applyNumberFormat="1" applyFont="1" applyBorder="1" applyAlignment="1" applyProtection="1">
      <alignment horizontal="center" vertical="center"/>
    </xf>
    <xf numFmtId="10" fontId="17" fillId="8" borderId="10" xfId="5" applyNumberFormat="1" applyFont="1" applyFill="1" applyBorder="1" applyAlignment="1">
      <alignment horizontal="center" vertical="center"/>
    </xf>
    <xf numFmtId="10" fontId="11" fillId="0" borderId="10" xfId="5" applyNumberFormat="1" applyFont="1" applyFill="1" applyBorder="1" applyAlignment="1">
      <alignment horizontal="center" vertical="center"/>
    </xf>
    <xf numFmtId="10" fontId="11" fillId="0" borderId="6" xfId="5" applyNumberFormat="1" applyFont="1" applyFill="1" applyBorder="1" applyAlignment="1">
      <alignment horizontal="center" vertical="center"/>
    </xf>
    <xf numFmtId="0" fontId="9" fillId="6" borderId="0" xfId="0" applyFont="1" applyFill="1"/>
    <xf numFmtId="0" fontId="12" fillId="6" borderId="6" xfId="0" applyFont="1" applyFill="1" applyBorder="1" applyAlignment="1">
      <alignment horizontal="justify" wrapText="1"/>
    </xf>
    <xf numFmtId="0" fontId="12" fillId="6" borderId="6" xfId="0" applyFont="1" applyFill="1" applyBorder="1" applyAlignment="1">
      <alignment horizontal="left" vertical="center" wrapText="1"/>
    </xf>
    <xf numFmtId="0" fontId="11" fillId="9" borderId="8"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8" borderId="6" xfId="0" applyFont="1" applyFill="1" applyBorder="1" applyAlignment="1">
      <alignment horizontal="right" vertical="center"/>
    </xf>
    <xf numFmtId="196" fontId="11" fillId="8" borderId="6" xfId="0" applyNumberFormat="1" applyFont="1" applyFill="1" applyBorder="1" applyAlignment="1">
      <alignment horizontal="center" vertical="center"/>
    </xf>
    <xf numFmtId="10" fontId="11" fillId="0" borderId="15" xfId="5" applyNumberFormat="1" applyFont="1" applyFill="1" applyBorder="1" applyAlignment="1">
      <alignment horizontal="center" vertical="center"/>
    </xf>
    <xf numFmtId="9" fontId="11" fillId="8" borderId="6" xfId="5" applyNumberFormat="1" applyFont="1" applyFill="1" applyBorder="1" applyAlignment="1">
      <alignment horizontal="center" vertical="center"/>
    </xf>
    <xf numFmtId="0" fontId="9" fillId="0" borderId="0" xfId="0" applyFont="1" applyBorder="1" applyAlignment="1"/>
    <xf numFmtId="0" fontId="9" fillId="0" borderId="7"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9" fillId="0" borderId="6" xfId="0" applyFont="1" applyBorder="1" applyAlignment="1">
      <alignment horizontal="justify" vertical="center"/>
    </xf>
    <xf numFmtId="0" fontId="9" fillId="0" borderId="6" xfId="0" applyFont="1" applyBorder="1" applyAlignment="1">
      <alignment horizontal="left" vertical="center"/>
    </xf>
    <xf numFmtId="0" fontId="11" fillId="2" borderId="6" xfId="0"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183" fontId="11" fillId="2" borderId="6" xfId="74" applyFont="1" applyFill="1" applyBorder="1" applyAlignment="1" applyProtection="1">
      <alignment horizontal="center" vertical="center" wrapText="1"/>
    </xf>
    <xf numFmtId="192" fontId="11" fillId="0" borderId="6" xfId="0" applyNumberFormat="1" applyFont="1" applyBorder="1" applyAlignment="1">
      <alignment horizontal="center" vertical="top"/>
    </xf>
    <xf numFmtId="0" fontId="18" fillId="0" borderId="6" xfId="0" applyFont="1" applyBorder="1" applyAlignment="1">
      <alignment horizontal="justify" vertical="center" wrapText="1"/>
    </xf>
    <xf numFmtId="10" fontId="9" fillId="0" borderId="6" xfId="0" applyNumberFormat="1" applyFont="1" applyBorder="1" applyAlignment="1">
      <alignment horizontal="center" vertical="center" wrapText="1"/>
    </xf>
    <xf numFmtId="192" fontId="11" fillId="0" borderId="6" xfId="0" applyNumberFormat="1" applyFont="1" applyBorder="1" applyAlignment="1">
      <alignment horizontal="center" vertical="center"/>
    </xf>
    <xf numFmtId="0" fontId="11" fillId="0" borderId="6" xfId="0" applyFont="1" applyBorder="1" applyAlignment="1">
      <alignment horizontal="justify" vertical="center" wrapText="1"/>
    </xf>
    <xf numFmtId="10" fontId="9" fillId="4" borderId="6" xfId="5" applyNumberFormat="1" applyFont="1" applyFill="1" applyBorder="1" applyAlignment="1" applyProtection="1">
      <alignment horizontal="center" vertical="center"/>
    </xf>
    <xf numFmtId="197" fontId="9" fillId="0" borderId="6" xfId="0" applyNumberFormat="1" applyFont="1" applyBorder="1" applyAlignment="1">
      <alignment horizontal="center" vertical="center" wrapText="1"/>
    </xf>
    <xf numFmtId="10" fontId="9" fillId="0" borderId="6" xfId="0" applyNumberFormat="1" applyFont="1" applyBorder="1" applyAlignment="1" applyProtection="1">
      <alignment horizontal="center" vertical="center" wrapText="1"/>
    </xf>
    <xf numFmtId="184" fontId="9" fillId="0" borderId="6" xfId="0" applyNumberFormat="1" applyFont="1" applyBorder="1" applyAlignment="1">
      <alignment horizontal="center" vertical="center"/>
    </xf>
    <xf numFmtId="176" fontId="9" fillId="0" borderId="6" xfId="0" applyNumberFormat="1" applyFont="1" applyBorder="1" applyAlignment="1" applyProtection="1">
      <alignment horizontal="center" vertical="center"/>
    </xf>
    <xf numFmtId="184" fontId="9" fillId="0" borderId="6" xfId="0" applyNumberFormat="1" applyFont="1" applyBorder="1" applyAlignment="1" applyProtection="1">
      <alignment horizontal="center" vertical="center"/>
    </xf>
    <xf numFmtId="0" fontId="11" fillId="0" borderId="6" xfId="0" applyFont="1" applyBorder="1" applyAlignment="1">
      <alignment horizontal="justify" vertical="center"/>
    </xf>
    <xf numFmtId="176" fontId="9" fillId="0" borderId="6" xfId="0" applyNumberFormat="1" applyFont="1" applyBorder="1" applyAlignment="1">
      <alignment horizontal="center" vertical="center"/>
    </xf>
    <xf numFmtId="0" fontId="11" fillId="0" borderId="6" xfId="0" applyFont="1" applyBorder="1" applyAlignment="1">
      <alignment horizontal="left" vertical="center" wrapText="1"/>
    </xf>
    <xf numFmtId="0" fontId="9" fillId="3" borderId="6" xfId="0" applyFont="1" applyFill="1" applyBorder="1" applyAlignment="1"/>
    <xf numFmtId="0" fontId="11" fillId="3" borderId="6" xfId="0" applyFont="1" applyFill="1" applyBorder="1" applyAlignment="1">
      <alignment horizontal="center" wrapText="1"/>
    </xf>
    <xf numFmtId="9" fontId="11" fillId="3" borderId="6" xfId="0" applyNumberFormat="1" applyFont="1" applyFill="1" applyBorder="1" applyAlignment="1">
      <alignment horizontal="center" vertical="center"/>
    </xf>
    <xf numFmtId="10" fontId="11" fillId="3" borderId="6" xfId="0" applyNumberFormat="1" applyFont="1" applyFill="1" applyBorder="1" applyAlignment="1" applyProtection="1">
      <alignment horizontal="center" vertical="center"/>
    </xf>
    <xf numFmtId="0" fontId="9" fillId="3" borderId="7" xfId="0" applyFont="1" applyFill="1" applyBorder="1" applyAlignment="1"/>
    <xf numFmtId="0" fontId="11" fillId="3" borderId="7" xfId="0" applyFont="1" applyFill="1" applyBorder="1" applyAlignment="1">
      <alignment horizontal="center" wrapText="1"/>
    </xf>
    <xf numFmtId="9" fontId="11" fillId="3" borderId="7" xfId="0" applyNumberFormat="1" applyFont="1" applyFill="1" applyBorder="1" applyAlignment="1">
      <alignment horizontal="center" vertical="center"/>
    </xf>
    <xf numFmtId="187" fontId="11" fillId="3" borderId="7" xfId="0" applyNumberFormat="1" applyFont="1" applyFill="1" applyBorder="1" applyAlignment="1">
      <alignment horizontal="center" vertical="center"/>
    </xf>
    <xf numFmtId="10" fontId="11" fillId="3" borderId="7" xfId="0" applyNumberFormat="1" applyFont="1" applyFill="1" applyBorder="1" applyAlignment="1">
      <alignment horizontal="center" vertical="center"/>
    </xf>
    <xf numFmtId="10" fontId="11" fillId="3" borderId="7" xfId="0" applyNumberFormat="1" applyFont="1" applyFill="1" applyBorder="1" applyAlignment="1" applyProtection="1">
      <alignment horizontal="center" vertical="center"/>
    </xf>
    <xf numFmtId="0" fontId="9" fillId="0" borderId="1" xfId="0" applyFont="1" applyBorder="1" applyAlignment="1"/>
    <xf numFmtId="0" fontId="9" fillId="0" borderId="2" xfId="0" applyFont="1" applyBorder="1" applyAlignment="1"/>
    <xf numFmtId="0" fontId="9" fillId="0" borderId="2" xfId="0" applyFont="1" applyBorder="1" applyAlignment="1">
      <alignment horizontal="center" vertical="center"/>
    </xf>
    <xf numFmtId="0" fontId="9" fillId="0" borderId="4" xfId="0" applyFont="1" applyBorder="1" applyAlignment="1"/>
    <xf numFmtId="0" fontId="9" fillId="0" borderId="0" xfId="0" applyFont="1" applyBorder="1" applyAlignment="1">
      <alignment horizontal="center" vertical="center"/>
    </xf>
    <xf numFmtId="0" fontId="9" fillId="0" borderId="11" xfId="58" applyFont="1" applyBorder="1" applyAlignment="1"/>
    <xf numFmtId="0" fontId="9" fillId="0" borderId="12" xfId="58" applyFont="1" applyBorder="1" applyAlignment="1"/>
    <xf numFmtId="0" fontId="11" fillId="0" borderId="0" xfId="58" applyFont="1" applyBorder="1" applyAlignment="1">
      <alignment vertical="top"/>
    </xf>
    <xf numFmtId="0" fontId="9" fillId="3" borderId="0" xfId="0" applyFont="1" applyFill="1" applyBorder="1" applyAlignment="1"/>
    <xf numFmtId="4" fontId="11" fillId="2" borderId="6" xfId="74" applyNumberFormat="1" applyFont="1" applyFill="1" applyBorder="1" applyAlignment="1" applyProtection="1">
      <alignment horizontal="center" vertical="center" wrapText="1"/>
    </xf>
    <xf numFmtId="184" fontId="9" fillId="0" borderId="6" xfId="0" applyNumberFormat="1" applyFont="1" applyBorder="1" applyAlignment="1">
      <alignment horizontal="center" vertical="center" wrapText="1"/>
    </xf>
    <xf numFmtId="0" fontId="9" fillId="0" borderId="6" xfId="0" applyFont="1" applyBorder="1" applyAlignment="1"/>
    <xf numFmtId="184" fontId="9" fillId="0" borderId="6" xfId="0" applyNumberFormat="1" applyFont="1" applyBorder="1" applyAlignment="1"/>
    <xf numFmtId="9" fontId="11" fillId="3" borderId="7" xfId="0" applyNumberFormat="1" applyFont="1" applyFill="1" applyBorder="1" applyAlignment="1" applyProtection="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0" fillId="0" borderId="0" xfId="0" applyFont="1"/>
    <xf numFmtId="0" fontId="10" fillId="0" borderId="0" xfId="0" applyFont="1" applyBorder="1" applyAlignment="1">
      <alignment horizontal="left" vertical="center"/>
    </xf>
    <xf numFmtId="0" fontId="19" fillId="0" borderId="0" xfId="0" applyFont="1" applyBorder="1" applyAlignment="1">
      <alignment horizontal="left" vertical="center"/>
    </xf>
    <xf numFmtId="198" fontId="10" fillId="0" borderId="0" xfId="0" applyNumberFormat="1" applyFont="1" applyBorder="1" applyAlignment="1">
      <alignment horizontal="left" vertical="center"/>
    </xf>
    <xf numFmtId="0" fontId="16" fillId="0" borderId="16" xfId="0" applyFont="1" applyBorder="1" applyAlignment="1">
      <alignment horizontal="center" wrapText="1"/>
    </xf>
    <xf numFmtId="0" fontId="16"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1" fillId="0" borderId="19" xfId="0" applyFont="1" applyBorder="1" applyAlignment="1" applyProtection="1">
      <alignment horizontal="center" vertical="center"/>
    </xf>
    <xf numFmtId="0" fontId="4" fillId="0" borderId="20" xfId="0" applyFont="1" applyBorder="1" applyAlignment="1" applyProtection="1">
      <alignmen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left" vertical="center" wrapText="1"/>
    </xf>
    <xf numFmtId="199" fontId="10" fillId="0" borderId="19" xfId="0" applyNumberFormat="1" applyFont="1" applyBorder="1" applyAlignment="1">
      <alignment horizontal="center" vertical="center" wrapText="1"/>
    </xf>
    <xf numFmtId="0" fontId="9" fillId="0" borderId="6" xfId="0" applyFont="1" applyBorder="1" applyAlignment="1">
      <alignment horizontal="center" vertical="center" wrapText="1"/>
    </xf>
    <xf numFmtId="2" fontId="19" fillId="0" borderId="6" xfId="0" applyNumberFormat="1" applyFont="1" applyBorder="1" applyAlignment="1">
      <alignment horizontal="center" vertical="center" wrapText="1"/>
    </xf>
    <xf numFmtId="198" fontId="10" fillId="0" borderId="6" xfId="0" applyNumberFormat="1" applyFont="1" applyBorder="1" applyAlignment="1">
      <alignment horizontal="center" vertical="center" wrapText="1"/>
    </xf>
    <xf numFmtId="0" fontId="4" fillId="0" borderId="6" xfId="0" applyFont="1" applyBorder="1" applyAlignment="1">
      <alignment horizontal="right" vertical="center" wrapText="1"/>
    </xf>
    <xf numFmtId="0" fontId="0" fillId="0" borderId="6" xfId="0" applyFont="1" applyBorder="1"/>
    <xf numFmtId="0" fontId="9" fillId="0" borderId="19" xfId="68" applyFont="1" applyBorder="1" applyAlignment="1">
      <alignment horizontal="center" vertical="center" wrapText="1"/>
    </xf>
    <xf numFmtId="198" fontId="19" fillId="0" borderId="6" xfId="0" applyNumberFormat="1" applyFont="1" applyBorder="1" applyAlignment="1">
      <alignment horizontal="center" vertical="center" wrapText="1"/>
    </xf>
    <xf numFmtId="0" fontId="4" fillId="0" borderId="19" xfId="68" applyFont="1" applyBorder="1" applyAlignment="1">
      <alignment horizontal="center" vertical="center" wrapText="1"/>
    </xf>
    <xf numFmtId="0" fontId="9" fillId="0" borderId="6" xfId="0" applyFont="1" applyBorder="1" applyAlignment="1">
      <alignment horizontal="right" vertical="center" wrapText="1"/>
    </xf>
    <xf numFmtId="0" fontId="10" fillId="0" borderId="6" xfId="0" applyFont="1" applyBorder="1" applyAlignment="1">
      <alignment horizontal="right" vertical="center" wrapText="1"/>
    </xf>
    <xf numFmtId="0" fontId="4" fillId="0" borderId="10" xfId="0" applyFont="1" applyBorder="1" applyAlignment="1">
      <alignment horizontal="center" vertical="center"/>
    </xf>
    <xf numFmtId="198" fontId="19" fillId="0" borderId="10" xfId="0" applyNumberFormat="1" applyFont="1" applyBorder="1" applyAlignment="1">
      <alignment horizontal="center" vertical="center" wrapText="1"/>
    </xf>
    <xf numFmtId="198" fontId="11" fillId="3" borderId="20" xfId="0" applyNumberFormat="1" applyFont="1" applyFill="1" applyBorder="1" applyAlignment="1">
      <alignment horizontal="center" vertical="center" wrapText="1"/>
    </xf>
    <xf numFmtId="0" fontId="10" fillId="0" borderId="0" xfId="0" applyFont="1" applyBorder="1" applyAlignment="1">
      <alignment horizontal="center" vertical="center"/>
    </xf>
    <xf numFmtId="198" fontId="10" fillId="0" borderId="20" xfId="0" applyNumberFormat="1" applyFont="1" applyBorder="1" applyAlignment="1">
      <alignment horizontal="center" vertical="center" wrapText="1"/>
    </xf>
    <xf numFmtId="10" fontId="10" fillId="0" borderId="6" xfId="0" applyNumberFormat="1" applyFont="1" applyBorder="1" applyAlignment="1">
      <alignment horizontal="center" vertical="center" wrapText="1"/>
    </xf>
    <xf numFmtId="0" fontId="9" fillId="4" borderId="19" xfId="0" applyFont="1" applyFill="1" applyBorder="1" applyAlignment="1">
      <alignment horizontal="center" vertical="center"/>
    </xf>
    <xf numFmtId="0" fontId="10" fillId="0" borderId="6" xfId="0" applyFont="1" applyBorder="1" applyAlignment="1">
      <alignment vertical="center" wrapText="1"/>
    </xf>
    <xf numFmtId="2" fontId="10" fillId="0" borderId="6" xfId="0" applyNumberFormat="1" applyFont="1" applyBorder="1" applyAlignment="1">
      <alignment horizontal="center" vertical="center"/>
    </xf>
    <xf numFmtId="0" fontId="10" fillId="0" borderId="6" xfId="0" applyFont="1" applyBorder="1" applyAlignment="1">
      <alignment horizontal="left" vertical="center" wrapText="1"/>
    </xf>
    <xf numFmtId="0" fontId="10" fillId="0" borderId="6" xfId="0" applyFont="1" applyBorder="1" applyAlignment="1">
      <alignment horizontal="center" vertical="center"/>
    </xf>
    <xf numFmtId="0" fontId="9" fillId="4" borderId="6" xfId="0" applyFont="1" applyFill="1" applyBorder="1" applyAlignment="1">
      <alignment horizontal="center" vertical="center" wrapText="1"/>
    </xf>
    <xf numFmtId="0" fontId="9" fillId="4" borderId="6" xfId="0" applyFont="1" applyFill="1" applyBorder="1" applyAlignment="1">
      <alignment horizontal="justify" vertical="center" wrapText="1"/>
    </xf>
    <xf numFmtId="0" fontId="9" fillId="0" borderId="19" xfId="0" applyFont="1" applyBorder="1" applyAlignment="1">
      <alignment horizontal="center" vertical="center"/>
    </xf>
    <xf numFmtId="198" fontId="19" fillId="4" borderId="6" xfId="0" applyNumberFormat="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0" borderId="8" xfId="0" applyFont="1" applyBorder="1" applyAlignment="1">
      <alignment wrapText="1"/>
    </xf>
    <xf numFmtId="0" fontId="4" fillId="4" borderId="8" xfId="0" applyFont="1" applyFill="1" applyBorder="1" applyAlignment="1">
      <alignment horizontal="center" vertical="center"/>
    </xf>
    <xf numFmtId="198" fontId="19" fillId="0" borderId="8" xfId="0" applyNumberFormat="1" applyFont="1" applyBorder="1" applyAlignment="1">
      <alignment horizontal="center" vertical="center" wrapText="1"/>
    </xf>
    <xf numFmtId="2" fontId="10"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1" fillId="0" borderId="0" xfId="0" applyFont="1" applyBorder="1" applyAlignment="1">
      <alignment horizontal="center" vertical="center"/>
    </xf>
    <xf numFmtId="184" fontId="9" fillId="0" borderId="6" xfId="0" applyNumberFormat="1" applyFont="1" applyBorder="1" applyAlignment="1">
      <alignment vertical="center"/>
    </xf>
    <xf numFmtId="176" fontId="4" fillId="0" borderId="6" xfId="0" applyNumberFormat="1" applyFont="1" applyBorder="1" applyAlignment="1">
      <alignment horizontal="center" vertical="center"/>
    </xf>
    <xf numFmtId="0" fontId="12" fillId="0" borderId="6" xfId="0" applyFont="1" applyBorder="1" applyAlignment="1">
      <alignment horizontal="justify" wrapText="1"/>
    </xf>
    <xf numFmtId="0" fontId="9" fillId="0" borderId="7"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right" vertical="center" wrapText="1"/>
    </xf>
    <xf numFmtId="4" fontId="20" fillId="0" borderId="0" xfId="0" applyNumberFormat="1" applyFont="1" applyBorder="1" applyAlignment="1">
      <alignment vertical="center" wrapText="1"/>
    </xf>
    <xf numFmtId="0" fontId="15" fillId="0" borderId="0" xfId="0"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1" fillId="0" borderId="6" xfId="0" applyFont="1" applyBorder="1" applyAlignment="1" applyProtection="1">
      <alignment horizontal="center" vertical="center" wrapText="1"/>
    </xf>
    <xf numFmtId="0" fontId="9" fillId="0" borderId="6" xfId="0" applyFont="1" applyBorder="1" applyAlignment="1" applyProtection="1">
      <alignment horizontal="left" vertical="center"/>
    </xf>
    <xf numFmtId="0" fontId="21" fillId="10" borderId="6" xfId="0" applyFont="1" applyFill="1" applyBorder="1" applyAlignment="1">
      <alignment horizontal="center" vertical="center" wrapText="1"/>
    </xf>
    <xf numFmtId="49" fontId="21" fillId="3" borderId="6" xfId="0" applyNumberFormat="1" applyFont="1" applyFill="1" applyBorder="1" applyAlignment="1">
      <alignment horizontal="center" vertical="center"/>
    </xf>
    <xf numFmtId="0" fontId="21" fillId="3" borderId="6" xfId="0" applyFont="1" applyFill="1" applyBorder="1" applyAlignment="1">
      <alignment horizontal="left" vertical="center"/>
    </xf>
    <xf numFmtId="0" fontId="20" fillId="9" borderId="6" xfId="0" applyFont="1" applyFill="1" applyBorder="1" applyAlignment="1">
      <alignment horizontal="right" vertical="center"/>
    </xf>
    <xf numFmtId="200" fontId="21" fillId="9" borderId="6" xfId="0" applyNumberFormat="1" applyFont="1" applyFill="1" applyBorder="1" applyAlignment="1">
      <alignment horizontal="right" vertical="center"/>
    </xf>
    <xf numFmtId="0" fontId="21" fillId="3" borderId="6" xfId="66" applyFont="1" applyFill="1" applyBorder="1" applyAlignment="1">
      <alignment horizontal="center" vertical="center"/>
    </xf>
    <xf numFmtId="184" fontId="21" fillId="9" borderId="6" xfId="0" applyNumberFormat="1" applyFont="1" applyFill="1" applyBorder="1" applyAlignment="1">
      <alignment horizontal="right" vertical="center"/>
    </xf>
    <xf numFmtId="49" fontId="21" fillId="3" borderId="6" xfId="0" applyNumberFormat="1" applyFont="1" applyFill="1" applyBorder="1" applyAlignment="1">
      <alignment horizontal="center" vertical="center" wrapText="1"/>
    </xf>
    <xf numFmtId="49" fontId="21" fillId="2" borderId="6" xfId="0" applyNumberFormat="1" applyFont="1" applyFill="1" applyBorder="1" applyAlignment="1">
      <alignment horizontal="center" vertical="center"/>
    </xf>
    <xf numFmtId="49" fontId="21" fillId="2" borderId="6" xfId="0" applyNumberFormat="1" applyFont="1" applyFill="1" applyBorder="1" applyAlignment="1">
      <alignment horizontal="right" vertical="center"/>
    </xf>
    <xf numFmtId="4" fontId="21" fillId="2" borderId="6" xfId="0" applyNumberFormat="1" applyFont="1" applyFill="1" applyBorder="1" applyAlignment="1">
      <alignment horizontal="right" vertical="center" wrapText="1"/>
    </xf>
    <xf numFmtId="0" fontId="21" fillId="0" borderId="6" xfId="0" applyFont="1" applyBorder="1" applyAlignment="1">
      <alignment horizontal="center" vertical="center" wrapText="1"/>
    </xf>
    <xf numFmtId="49" fontId="20" fillId="0" borderId="0" xfId="0" applyNumberFormat="1" applyFont="1" applyBorder="1" applyAlignment="1">
      <alignment horizontal="center" vertical="top"/>
    </xf>
    <xf numFmtId="0" fontId="20" fillId="0" borderId="0" xfId="0" applyFont="1" applyBorder="1" applyAlignment="1">
      <alignment horizontal="left" vertical="top" wrapText="1"/>
    </xf>
    <xf numFmtId="0" fontId="20" fillId="0" borderId="0" xfId="0" applyFont="1" applyBorder="1" applyAlignment="1">
      <alignment horizontal="center" wrapText="1"/>
    </xf>
    <xf numFmtId="4" fontId="20" fillId="0" borderId="0" xfId="0" applyNumberFormat="1" applyFont="1" applyBorder="1" applyAlignment="1">
      <alignment horizontal="right" wrapText="1"/>
    </xf>
  </cellXfs>
  <cellStyles count="81">
    <cellStyle name="Normal" xfId="0" builtinId="0"/>
    <cellStyle name="Comma" xfId="1" builtinId="3"/>
    <cellStyle name="Comma [0]" xfId="2" builtinId="6"/>
    <cellStyle name="40% - Ênfase 4" xfId="3" builtinId="43"/>
    <cellStyle name="Normal 2 2 2 2" xfId="4"/>
    <cellStyle name="Porcentagem" xfId="5" builtinId="5"/>
    <cellStyle name="Célula Vinculada" xfId="6" builtinId="24"/>
    <cellStyle name="Célula de Verificação" xfId="7" builtinId="23"/>
    <cellStyle name="Moeda [0]" xfId="8" builtinId="7"/>
    <cellStyle name="20% - Ênfase 3" xfId="9" builtinId="38"/>
    <cellStyle name="Moeda" xfId="10" builtinId="4"/>
    <cellStyle name="Hyperlink seguido" xfId="11" builtinId="9"/>
    <cellStyle name="Heading 2 13" xfId="12"/>
    <cellStyle name="Hyperlink" xfId="13" builtinId="8"/>
    <cellStyle name="Observação" xfId="14" builtinId="10"/>
    <cellStyle name="40% - Ênfase 2" xfId="15" builtinId="35"/>
    <cellStyle name="40% - Ênfase 6" xfId="16" builtinId="51"/>
    <cellStyle name="Normal 2 2 2 4" xfId="17"/>
    <cellStyle name="Texto de Aviso" xfId="18" builtinId="11"/>
    <cellStyle name="Título" xfId="19" builtinId="15"/>
    <cellStyle name="Accent 1 5" xfId="20"/>
    <cellStyle name="Texto Explicativo" xfId="21" builtinId="53"/>
    <cellStyle name="Título 1" xfId="22" builtinId="16"/>
    <cellStyle name="Ênfase 3" xfId="23" builtinId="37"/>
    <cellStyle name="Título 2" xfId="24" builtinId="17"/>
    <cellStyle name="Ênfase 4" xfId="25" builtinId="41"/>
    <cellStyle name="Título 3" xfId="26" builtinId="18"/>
    <cellStyle name="Ênfase 5" xfId="27" builtinId="45"/>
    <cellStyle name="Título 4" xfId="28" builtinId="19"/>
    <cellStyle name="Ênfase 6" xfId="29" builtinId="49"/>
    <cellStyle name="Entrada" xfId="30" builtinId="20"/>
    <cellStyle name="Saída" xfId="31" builtinId="21"/>
    <cellStyle name="Cálculo" xfId="32" builtinId="22"/>
    <cellStyle name="Total" xfId="33" builtinId="25"/>
    <cellStyle name="40% - Ênfase 1" xfId="34" builtinId="31"/>
    <cellStyle name="Bom" xfId="35" builtinId="26"/>
    <cellStyle name="Ruim" xfId="36" builtinId="27"/>
    <cellStyle name="Neutro" xfId="37" builtinId="28"/>
    <cellStyle name="20% - Ênfase 5" xfId="38" builtinId="46"/>
    <cellStyle name="Ênfase 1" xfId="39" builtinId="29"/>
    <cellStyle name="20% - Ênfase 1" xfId="40" builtinId="30"/>
    <cellStyle name="60% - Ênfase 1" xfId="41" builtinId="32"/>
    <cellStyle name="20% - Ênfase 6" xfId="42" builtinId="50"/>
    <cellStyle name="Ênfase 2" xfId="43" builtinId="33"/>
    <cellStyle name="Neutral 15" xfId="44"/>
    <cellStyle name="20% - Ênfase 2" xfId="45" builtinId="34"/>
    <cellStyle name="60% - Ênfase 2" xfId="46" builtinId="36"/>
    <cellStyle name="Normal 12 2 2" xfId="47"/>
    <cellStyle name="40% - Ênfase 3" xfId="48" builtinId="39"/>
    <cellStyle name="60% - Ênfase 3" xfId="49" builtinId="40"/>
    <cellStyle name="20% - Ênfase 4" xfId="50" builtinId="42"/>
    <cellStyle name="Footnote 10" xfId="51"/>
    <cellStyle name="Hyperlink 14" xfId="52"/>
    <cellStyle name="60% - Ênfase 4" xfId="53" builtinId="44"/>
    <cellStyle name="40% - Ênfase 5" xfId="54" builtinId="47"/>
    <cellStyle name="60% - Ênfase 5" xfId="55" builtinId="48"/>
    <cellStyle name="60% - Ênfase 6" xfId="56" builtinId="52"/>
    <cellStyle name="Accent 2 6" xfId="57"/>
    <cellStyle name="Estilo 2" xfId="58"/>
    <cellStyle name="Accent 3 7" xfId="59"/>
    <cellStyle name="Heading 1 12" xfId="60"/>
    <cellStyle name="Accent 4" xfId="61"/>
    <cellStyle name="Bad 8" xfId="62"/>
    <cellStyle name="Error 9" xfId="63"/>
    <cellStyle name="Estilo 4" xfId="64"/>
    <cellStyle name="Good 11" xfId="65"/>
    <cellStyle name="Normal 2 2 2" xfId="66"/>
    <cellStyle name="Normal 2 3" xfId="67"/>
    <cellStyle name="Normal 4" xfId="68"/>
    <cellStyle name="Normal 4 2 2" xfId="69"/>
    <cellStyle name="Normal 4 2 4" xfId="70"/>
    <cellStyle name="Note 16" xfId="71"/>
    <cellStyle name="Porcentagem 2" xfId="72"/>
    <cellStyle name="Separador de milhares 12 10 10" xfId="73"/>
    <cellStyle name="Separador de milhares 2" xfId="74"/>
    <cellStyle name="Separador de milhares 2 2" xfId="75"/>
    <cellStyle name="Separador de milhares 6" xfId="76"/>
    <cellStyle name="Separador de milhares 9" xfId="77"/>
    <cellStyle name="Status 17" xfId="78"/>
    <cellStyle name="Text 18" xfId="79"/>
    <cellStyle name="Warning 19" xfId="80"/>
  </cellStyles>
  <dxfs count="2">
    <dxf>
      <font>
        <b val="1"/>
        <i val="0"/>
      </font>
      <fill>
        <patternFill patternType="solid">
          <bgColor rgb="FFC0C0C0"/>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BDD7EE"/>
      <rgbColor rgb="00000080"/>
      <rgbColor rgb="00FF00FF"/>
      <rgbColor rgb="00FFFF00"/>
      <rgbColor rgb="0000FFFF"/>
      <rgbColor rgb="00800080"/>
      <rgbColor rgb="00CC0000"/>
      <rgbColor rgb="00008080"/>
      <rgbColor rgb="000000FF"/>
      <rgbColor rgb="0000CCFF"/>
      <rgbColor rgb="00CCFFFF"/>
      <rgbColor rgb="00CCFFCC"/>
      <rgbColor rgb="00FFFF99"/>
      <rgbColor rgb="009DC3E6"/>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1334135</xdr:colOff>
      <xdr:row>0</xdr:row>
      <xdr:rowOff>48260</xdr:rowOff>
    </xdr:from>
    <xdr:to>
      <xdr:col>2</xdr:col>
      <xdr:colOff>429260</xdr:colOff>
      <xdr:row>0</xdr:row>
      <xdr:rowOff>808355</xdr:rowOff>
    </xdr:to>
    <xdr:pic>
      <xdr:nvPicPr>
        <xdr:cNvPr id="2" name="Imagem 1" descr="LOGO 2020"/>
        <xdr:cNvPicPr>
          <a:picLocks noChangeAspect="1"/>
        </xdr:cNvPicPr>
      </xdr:nvPicPr>
      <xdr:blipFill>
        <a:blip r:embed="rId1"/>
        <a:stretch>
          <a:fillRect/>
        </a:stretch>
      </xdr:blipFill>
      <xdr:spPr>
        <a:xfrm>
          <a:off x="2315210" y="48260"/>
          <a:ext cx="2115185" cy="76009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xdr:col>
      <xdr:colOff>2620010</xdr:colOff>
      <xdr:row>0</xdr:row>
      <xdr:rowOff>107950</xdr:rowOff>
    </xdr:from>
    <xdr:to>
      <xdr:col>2</xdr:col>
      <xdr:colOff>4735195</xdr:colOff>
      <xdr:row>0</xdr:row>
      <xdr:rowOff>868045</xdr:rowOff>
    </xdr:to>
    <xdr:pic>
      <xdr:nvPicPr>
        <xdr:cNvPr id="3" name="Imagem 1" descr="LOGO 2020"/>
        <xdr:cNvPicPr>
          <a:picLocks noChangeAspect="1"/>
        </xdr:cNvPicPr>
      </xdr:nvPicPr>
      <xdr:blipFill>
        <a:blip r:embed="rId1"/>
        <a:stretch>
          <a:fillRect/>
        </a:stretch>
      </xdr:blipFill>
      <xdr:spPr>
        <a:xfrm>
          <a:off x="5677535" y="107950"/>
          <a:ext cx="2115185" cy="760095"/>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2625090</xdr:colOff>
      <xdr:row>0</xdr:row>
      <xdr:rowOff>92075</xdr:rowOff>
    </xdr:from>
    <xdr:to>
      <xdr:col>2</xdr:col>
      <xdr:colOff>4740275</xdr:colOff>
      <xdr:row>0</xdr:row>
      <xdr:rowOff>852170</xdr:rowOff>
    </xdr:to>
    <xdr:pic>
      <xdr:nvPicPr>
        <xdr:cNvPr id="2" name="Imagem 1" descr="LOGO 2020"/>
        <xdr:cNvPicPr>
          <a:picLocks noChangeAspect="1"/>
        </xdr:cNvPicPr>
      </xdr:nvPicPr>
      <xdr:blipFill>
        <a:blip r:embed="rId1"/>
        <a:stretch>
          <a:fillRect/>
        </a:stretch>
      </xdr:blipFill>
      <xdr:spPr>
        <a:xfrm>
          <a:off x="5433695" y="92075"/>
          <a:ext cx="2115185" cy="760095"/>
        </a:xfrm>
        <a:prstGeom prst="rect">
          <a:avLst/>
        </a:prstGeom>
        <a:noFill/>
        <a:ln w="9525">
          <a:noFill/>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3</xdr:col>
      <xdr:colOff>1048385</xdr:colOff>
      <xdr:row>0</xdr:row>
      <xdr:rowOff>487045</xdr:rowOff>
    </xdr:from>
    <xdr:to>
      <xdr:col>6</xdr:col>
      <xdr:colOff>305435</xdr:colOff>
      <xdr:row>1</xdr:row>
      <xdr:rowOff>537845</xdr:rowOff>
    </xdr:to>
    <xdr:pic>
      <xdr:nvPicPr>
        <xdr:cNvPr id="2" name="Imagem 1" descr="LOGO 2020"/>
        <xdr:cNvPicPr>
          <a:picLocks noChangeAspect="1"/>
        </xdr:cNvPicPr>
      </xdr:nvPicPr>
      <xdr:blipFill>
        <a:blip r:embed="rId1"/>
        <a:stretch>
          <a:fillRect/>
        </a:stretch>
      </xdr:blipFill>
      <xdr:spPr>
        <a:xfrm>
          <a:off x="4917440" y="487045"/>
          <a:ext cx="2383155" cy="914400"/>
        </a:xfrm>
        <a:prstGeom prst="rect">
          <a:avLst/>
        </a:prstGeom>
        <a:noFill/>
        <a:ln w="9525">
          <a:noFill/>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xdr:col>
      <xdr:colOff>3441700</xdr:colOff>
      <xdr:row>0</xdr:row>
      <xdr:rowOff>48895</xdr:rowOff>
    </xdr:from>
    <xdr:to>
      <xdr:col>2</xdr:col>
      <xdr:colOff>5556885</xdr:colOff>
      <xdr:row>0</xdr:row>
      <xdr:rowOff>808990</xdr:rowOff>
    </xdr:to>
    <xdr:pic>
      <xdr:nvPicPr>
        <xdr:cNvPr id="2" name="Imagem 1" descr="LOGO 2020"/>
        <xdr:cNvPicPr>
          <a:picLocks noChangeAspect="1"/>
        </xdr:cNvPicPr>
      </xdr:nvPicPr>
      <xdr:blipFill>
        <a:blip r:embed="rId1"/>
        <a:stretch>
          <a:fillRect/>
        </a:stretch>
      </xdr:blipFill>
      <xdr:spPr>
        <a:xfrm>
          <a:off x="5927725" y="48895"/>
          <a:ext cx="2115185" cy="760095"/>
        </a:xfrm>
        <a:prstGeom prst="rect">
          <a:avLst/>
        </a:prstGeom>
        <a:noFill/>
        <a:ln w="9525">
          <a:noFill/>
        </a:ln>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2</xdr:col>
      <xdr:colOff>1572260</xdr:colOff>
      <xdr:row>0</xdr:row>
      <xdr:rowOff>48895</xdr:rowOff>
    </xdr:from>
    <xdr:to>
      <xdr:col>2</xdr:col>
      <xdr:colOff>3687445</xdr:colOff>
      <xdr:row>0</xdr:row>
      <xdr:rowOff>808990</xdr:rowOff>
    </xdr:to>
    <xdr:pic>
      <xdr:nvPicPr>
        <xdr:cNvPr id="2" name="Imagem 1" descr="LOGO 2020"/>
        <xdr:cNvPicPr>
          <a:picLocks noChangeAspect="1"/>
        </xdr:cNvPicPr>
      </xdr:nvPicPr>
      <xdr:blipFill>
        <a:blip r:embed="rId1"/>
        <a:stretch>
          <a:fillRect/>
        </a:stretch>
      </xdr:blipFill>
      <xdr:spPr>
        <a:xfrm>
          <a:off x="3742690" y="48895"/>
          <a:ext cx="2115185" cy="760095"/>
        </a:xfrm>
        <a:prstGeom prst="rect">
          <a:avLst/>
        </a:prstGeom>
        <a:noFill/>
        <a:ln w="9525">
          <a:noFill/>
        </a:ln>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3715385</xdr:colOff>
      <xdr:row>0</xdr:row>
      <xdr:rowOff>48260</xdr:rowOff>
    </xdr:from>
    <xdr:to>
      <xdr:col>2</xdr:col>
      <xdr:colOff>1878330</xdr:colOff>
      <xdr:row>0</xdr:row>
      <xdr:rowOff>834390</xdr:rowOff>
    </xdr:to>
    <xdr:pic>
      <xdr:nvPicPr>
        <xdr:cNvPr id="2" name="Imagem 1" descr="LOGO 2020"/>
        <xdr:cNvPicPr>
          <a:picLocks noChangeAspect="1"/>
        </xdr:cNvPicPr>
      </xdr:nvPicPr>
      <xdr:blipFill>
        <a:blip r:embed="rId1"/>
        <a:stretch>
          <a:fillRect/>
        </a:stretch>
      </xdr:blipFill>
      <xdr:spPr>
        <a:xfrm>
          <a:off x="4581525" y="48260"/>
          <a:ext cx="2115185" cy="786130"/>
        </a:xfrm>
        <a:prstGeom prst="rect">
          <a:avLst/>
        </a:prstGeom>
        <a:noFill/>
        <a:ln w="9525">
          <a:noFill/>
        </a:ln>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2</xdr:col>
      <xdr:colOff>2780030</xdr:colOff>
      <xdr:row>0</xdr:row>
      <xdr:rowOff>118110</xdr:rowOff>
    </xdr:from>
    <xdr:to>
      <xdr:col>2</xdr:col>
      <xdr:colOff>4895215</xdr:colOff>
      <xdr:row>0</xdr:row>
      <xdr:rowOff>878205</xdr:rowOff>
    </xdr:to>
    <xdr:pic>
      <xdr:nvPicPr>
        <xdr:cNvPr id="2" name="Imagem 1" descr="LOGO 2020"/>
        <xdr:cNvPicPr>
          <a:picLocks noChangeAspect="1"/>
        </xdr:cNvPicPr>
      </xdr:nvPicPr>
      <xdr:blipFill>
        <a:blip r:embed="rId1"/>
        <a:stretch>
          <a:fillRect/>
        </a:stretch>
      </xdr:blipFill>
      <xdr:spPr>
        <a:xfrm>
          <a:off x="5837555" y="118110"/>
          <a:ext cx="2115185" cy="760095"/>
        </a:xfrm>
        <a:prstGeom prst="rect">
          <a:avLst/>
        </a:prstGeom>
        <a:noFill/>
        <a:ln w="9525">
          <a:noFill/>
        </a:ln>
      </xdr:spPr>
    </xdr:pic>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920880</xdr:colOff>
      <xdr:row>21</xdr:row>
      <xdr:rowOff>3960</xdr:rowOff>
    </xdr:from>
    <xdr:to>
      <xdr:col>3</xdr:col>
      <xdr:colOff>181440</xdr:colOff>
      <xdr:row>23</xdr:row>
      <xdr:rowOff>14040</xdr:rowOff>
    </xdr:to>
    <xdr:pic>
      <xdr:nvPicPr>
        <xdr:cNvPr id="10" name="Imagem 3"/>
        <xdr:cNvPicPr/>
      </xdr:nvPicPr>
      <xdr:blipFill>
        <a:blip r:embed="rId1"/>
        <a:stretch>
          <a:fillRect/>
        </a:stretch>
      </xdr:blipFill>
      <xdr:spPr>
        <a:xfrm>
          <a:off x="920750" y="6496685"/>
          <a:ext cx="4070350" cy="381635"/>
        </a:xfrm>
        <a:prstGeom prst="rect">
          <a:avLst/>
        </a:prstGeom>
        <a:ln w="9360">
          <a:noFill/>
        </a:ln>
      </xdr:spPr>
    </xdr:pic>
    <xdr:clientData/>
  </xdr:twoCellAnchor>
  <xdr:twoCellAnchor>
    <xdr:from>
      <xdr:col>1</xdr:col>
      <xdr:colOff>772160</xdr:colOff>
      <xdr:row>0</xdr:row>
      <xdr:rowOff>86360</xdr:rowOff>
    </xdr:from>
    <xdr:to>
      <xdr:col>2</xdr:col>
      <xdr:colOff>163830</xdr:colOff>
      <xdr:row>0</xdr:row>
      <xdr:rowOff>846455</xdr:rowOff>
    </xdr:to>
    <xdr:pic>
      <xdr:nvPicPr>
        <xdr:cNvPr id="2" name="Imagem 1" descr="LOGO 2020"/>
        <xdr:cNvPicPr>
          <a:picLocks noChangeAspect="1"/>
        </xdr:cNvPicPr>
      </xdr:nvPicPr>
      <xdr:blipFill>
        <a:blip r:embed="rId2"/>
        <a:stretch>
          <a:fillRect/>
        </a:stretch>
      </xdr:blipFill>
      <xdr:spPr>
        <a:xfrm>
          <a:off x="2010410" y="86360"/>
          <a:ext cx="2115185" cy="76009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J55"/>
  <sheetViews>
    <sheetView view="pageBreakPreview" zoomScaleNormal="100" topLeftCell="A31" workbookViewId="0">
      <selection activeCell="I8" sqref="I8"/>
    </sheetView>
  </sheetViews>
  <sheetFormatPr defaultColWidth="10.6444444444444" defaultRowHeight="12.75"/>
  <cols>
    <col min="1" max="1" width="17.1666666666667" style="391" customWidth="1"/>
    <col min="2" max="2" width="52.8444444444444" style="390" customWidth="1"/>
    <col min="3" max="3" width="9.14444444444444" style="391" customWidth="1"/>
    <col min="4" max="5" width="9.15555555555555" style="391" customWidth="1"/>
    <col min="6" max="6" width="19.1555555555556" style="392" customWidth="1"/>
    <col min="7" max="10" width="6.9" style="390" customWidth="1"/>
    <col min="11" max="11" width="6.9" style="391" customWidth="1"/>
    <col min="12" max="12" width="6.9" style="390" customWidth="1"/>
    <col min="13" max="13" width="6.9" style="391" customWidth="1"/>
    <col min="14" max="14" width="6.9" style="393" customWidth="1"/>
    <col min="15" max="21" width="6.9" style="390" customWidth="1"/>
    <col min="22" max="22" width="6.9" style="391" customWidth="1"/>
    <col min="23" max="23" width="6.9" style="390" customWidth="1"/>
    <col min="24" max="24" width="6.9" style="391" customWidth="1"/>
    <col min="25" max="25" width="6.9" style="393" customWidth="1"/>
    <col min="26" max="32" width="6.9" style="390" customWidth="1"/>
    <col min="33" max="33" width="6.9" style="391" customWidth="1"/>
    <col min="34" max="34" width="73.6555555555556" style="390" customWidth="1"/>
    <col min="35" max="35" width="8.64444444444444" style="391" customWidth="1"/>
    <col min="36" max="36" width="14.4777777777778" style="393" customWidth="1"/>
    <col min="37" max="37" width="1.64444444444444" style="390" customWidth="1"/>
    <col min="38" max="38" width="8.97777777777778" style="390" customWidth="1"/>
    <col min="39" max="39" width="73.6555555555556" style="390" customWidth="1"/>
    <col min="40" max="40" width="8.97777777777778" style="390" customWidth="1"/>
    <col min="41" max="41" width="14.4777777777778" style="390" customWidth="1"/>
    <col min="42" max="42" width="10.6444444444444" style="390"/>
    <col min="43" max="43" width="7.82222222222222" style="390" customWidth="1"/>
    <col min="44" max="44" width="8.97777777777778" style="391" customWidth="1"/>
    <col min="45" max="45" width="73.6555555555556" style="390" customWidth="1"/>
    <col min="46" max="46" width="8.64444444444444" style="391" customWidth="1"/>
    <col min="47" max="47" width="14.4777777777778" style="393" customWidth="1"/>
    <col min="48" max="48" width="1.64444444444444" style="390" customWidth="1"/>
    <col min="49" max="49" width="8.97777777777778" style="390" customWidth="1"/>
    <col min="50" max="50" width="73.6555555555556" style="390" customWidth="1"/>
    <col min="51" max="51" width="8.97777777777778" style="390" customWidth="1"/>
    <col min="52" max="52" width="14.4777777777778" style="390" customWidth="1"/>
    <col min="53" max="53" width="10.6444444444444" style="390"/>
    <col min="54" max="54" width="7.82222222222222" style="390" customWidth="1"/>
    <col min="55" max="55" width="8.97777777777778" style="391" customWidth="1"/>
    <col min="56" max="56" width="73.6555555555556" style="390" customWidth="1"/>
    <col min="57" max="57" width="8.64444444444444" style="391" customWidth="1"/>
    <col min="58" max="58" width="14.4777777777778" style="393" customWidth="1"/>
    <col min="59" max="59" width="1.64444444444444" style="390" customWidth="1"/>
    <col min="60" max="60" width="8.97777777777778" style="390" customWidth="1"/>
    <col min="61" max="61" width="73.6555555555556" style="390" customWidth="1"/>
    <col min="62" max="62" width="8.97777777777778" style="390" customWidth="1"/>
    <col min="63" max="63" width="14.4777777777778" style="390" customWidth="1"/>
    <col min="64" max="64" width="10.6444444444444" style="390"/>
    <col min="65" max="65" width="7.82222222222222" style="390" customWidth="1"/>
    <col min="66" max="66" width="8.97777777777778" style="391" customWidth="1"/>
    <col min="67" max="67" width="73.6555555555556" style="390" customWidth="1"/>
    <col min="68" max="68" width="8.64444444444444" style="391" customWidth="1"/>
    <col min="69" max="69" width="14.4777777777778" style="393" customWidth="1"/>
    <col min="70" max="70" width="1.64444444444444" style="390" customWidth="1"/>
    <col min="71" max="71" width="8.97777777777778" style="390" customWidth="1"/>
    <col min="72" max="72" width="73.6555555555556" style="390" customWidth="1"/>
    <col min="73" max="73" width="8.97777777777778" style="390" customWidth="1"/>
    <col min="74" max="74" width="14.4777777777778" style="390" customWidth="1"/>
    <col min="75" max="75" width="10.6444444444444" style="390"/>
    <col min="76" max="76" width="7.82222222222222" style="390" customWidth="1"/>
    <col min="77" max="77" width="8.97777777777778" style="391" customWidth="1"/>
    <col min="78" max="78" width="73.6555555555556" style="390" customWidth="1"/>
    <col min="79" max="79" width="8.64444444444444" style="391" customWidth="1"/>
    <col min="80" max="80" width="14.4777777777778" style="393" customWidth="1"/>
    <col min="81" max="81" width="1.64444444444444" style="390" customWidth="1"/>
    <col min="82" max="82" width="8.97777777777778" style="390" customWidth="1"/>
    <col min="83" max="83" width="73.6555555555556" style="390" customWidth="1"/>
    <col min="84" max="84" width="8.97777777777778" style="390" customWidth="1"/>
    <col min="85" max="85" width="14.4777777777778" style="390" customWidth="1"/>
    <col min="86" max="86" width="10.6444444444444" style="390"/>
    <col min="87" max="87" width="7.82222222222222" style="390" customWidth="1"/>
    <col min="88" max="88" width="8.97777777777778" style="391" customWidth="1"/>
    <col min="89" max="89" width="73.6555555555556" style="390" customWidth="1"/>
    <col min="90" max="90" width="8.64444444444444" style="391" customWidth="1"/>
    <col min="91" max="91" width="14.4777777777778" style="393" customWidth="1"/>
    <col min="92" max="92" width="1.64444444444444" style="390" customWidth="1"/>
    <col min="93" max="93" width="8.97777777777778" style="390" customWidth="1"/>
    <col min="94" max="94" width="73.6555555555556" style="390" customWidth="1"/>
    <col min="95" max="95" width="8.97777777777778" style="390" customWidth="1"/>
    <col min="96" max="96" width="14.4777777777778" style="390" customWidth="1"/>
    <col min="97" max="97" width="10.6444444444444" style="390"/>
    <col min="98" max="98" width="7.82222222222222" style="390" customWidth="1"/>
    <col min="99" max="99" width="8.97777777777778" style="391" customWidth="1"/>
    <col min="100" max="100" width="73.6555555555556" style="390" customWidth="1"/>
    <col min="101" max="101" width="8.64444444444444" style="391" customWidth="1"/>
    <col min="102" max="102" width="14.4777777777778" style="393" customWidth="1"/>
    <col min="103" max="103" width="1.64444444444444" style="390" customWidth="1"/>
    <col min="104" max="104" width="8.97777777777778" style="390" customWidth="1"/>
    <col min="105" max="105" width="73.6555555555556" style="390" customWidth="1"/>
    <col min="106" max="106" width="8.97777777777778" style="390" customWidth="1"/>
    <col min="107" max="107" width="14.4777777777778" style="390" customWidth="1"/>
    <col min="108" max="108" width="10.6444444444444" style="390"/>
    <col min="109" max="109" width="7.82222222222222" style="390" customWidth="1"/>
    <col min="110" max="110" width="8.97777777777778" style="391" customWidth="1"/>
    <col min="111" max="111" width="73.6555555555556" style="390" customWidth="1"/>
    <col min="112" max="112" width="8.64444444444444" style="391" customWidth="1"/>
    <col min="113" max="113" width="14.4777777777778" style="393" customWidth="1"/>
    <col min="114" max="114" width="1.64444444444444" style="390" customWidth="1"/>
    <col min="115" max="115" width="8.97777777777778" style="390" customWidth="1"/>
    <col min="116" max="116" width="73.6555555555556" style="390" customWidth="1"/>
    <col min="117" max="117" width="8.97777777777778" style="390" customWidth="1"/>
    <col min="118" max="118" width="14.4777777777778" style="390" customWidth="1"/>
    <col min="119" max="119" width="10.6444444444444" style="390"/>
    <col min="120" max="120" width="7.82222222222222" style="390" customWidth="1"/>
    <col min="121" max="121" width="8.97777777777778" style="391" customWidth="1"/>
    <col min="122" max="122" width="73.6555555555556" style="390" customWidth="1"/>
    <col min="123" max="123" width="8.64444444444444" style="391" customWidth="1"/>
    <col min="124" max="124" width="14.4777777777778" style="393" customWidth="1"/>
    <col min="125" max="125" width="1.64444444444444" style="390" customWidth="1"/>
    <col min="126" max="126" width="8.97777777777778" style="390" customWidth="1"/>
    <col min="127" max="127" width="73.6555555555556" style="390" customWidth="1"/>
    <col min="128" max="128" width="8.97777777777778" style="390" customWidth="1"/>
    <col min="129" max="129" width="14.4777777777778" style="390" customWidth="1"/>
    <col min="130" max="218" width="10.6444444444444" style="390"/>
    <col min="219" max="1025" width="10.6555555555556" style="390"/>
  </cols>
  <sheetData>
    <row r="1" s="57" customFormat="1" ht="79" customHeight="1" spans="1:1024">
      <c r="A1" s="394" t="s">
        <v>0</v>
      </c>
      <c r="B1" s="394"/>
      <c r="C1" s="394"/>
      <c r="D1" s="394"/>
      <c r="E1" s="394"/>
      <c r="F1" s="394"/>
      <c r="AMJ1" s="342"/>
    </row>
    <row r="2" s="57" customFormat="1" ht="27" customHeight="1" spans="1:1024">
      <c r="A2" s="395" t="s">
        <v>1</v>
      </c>
      <c r="B2" s="395"/>
      <c r="C2" s="395"/>
      <c r="D2" s="395"/>
      <c r="E2" s="395"/>
      <c r="F2" s="395"/>
      <c r="AMJ2" s="342"/>
    </row>
    <row r="3" s="57" customFormat="1" ht="24" customHeight="1" spans="1:1024">
      <c r="A3" s="396" t="s">
        <v>2</v>
      </c>
      <c r="B3" s="396"/>
      <c r="C3" s="396"/>
      <c r="D3" s="396"/>
      <c r="E3" s="396"/>
      <c r="F3" s="396"/>
      <c r="AMJ3" s="342"/>
    </row>
    <row r="4" s="57" customFormat="1" ht="51" customHeight="1" spans="1:1024">
      <c r="A4" s="397" t="s">
        <v>3</v>
      </c>
      <c r="B4" s="64" t="s">
        <v>4</v>
      </c>
      <c r="C4" s="64"/>
      <c r="D4" s="64"/>
      <c r="E4" s="64"/>
      <c r="F4" s="64"/>
      <c r="AMJ4" s="342"/>
    </row>
    <row r="5" s="57" customFormat="1" ht="21" customHeight="1" spans="1:1024">
      <c r="A5" s="397" t="s">
        <v>5</v>
      </c>
      <c r="B5" s="398" t="s">
        <v>6</v>
      </c>
      <c r="C5" s="398"/>
      <c r="D5" s="398"/>
      <c r="E5" s="398"/>
      <c r="F5" s="398"/>
      <c r="AMJ5" s="342"/>
    </row>
    <row r="6" s="57" customFormat="1" ht="33" customHeight="1" spans="1:1024">
      <c r="A6" s="397" t="s">
        <v>7</v>
      </c>
      <c r="B6" s="64" t="s">
        <v>8</v>
      </c>
      <c r="C6" s="64"/>
      <c r="D6" s="64"/>
      <c r="E6" s="64"/>
      <c r="F6" s="64"/>
      <c r="AMJ6" s="342"/>
    </row>
    <row r="7" s="390" customFormat="1" ht="17" customHeight="1" spans="1:6">
      <c r="A7" s="399" t="s">
        <v>9</v>
      </c>
      <c r="B7" s="399" t="s">
        <v>10</v>
      </c>
      <c r="C7" s="399"/>
      <c r="D7" s="399" t="s">
        <v>11</v>
      </c>
      <c r="E7" s="399"/>
      <c r="F7" s="399"/>
    </row>
    <row r="8" s="390" customFormat="1" ht="17" customHeight="1" spans="1:6">
      <c r="A8" s="399"/>
      <c r="B8" s="399"/>
      <c r="C8" s="399"/>
      <c r="D8" s="399"/>
      <c r="E8" s="399"/>
      <c r="F8" s="399"/>
    </row>
    <row r="9" s="390" customFormat="1" ht="15" customHeight="1" spans="1:6">
      <c r="A9" s="400" t="s">
        <v>12</v>
      </c>
      <c r="B9" s="401" t="str">
        <f>'ORÇAMENTO BÁSICO'!B10</f>
        <v>SERVIÇOS PRELIMINARES</v>
      </c>
      <c r="C9" s="401"/>
      <c r="D9" s="401"/>
      <c r="E9" s="401"/>
      <c r="F9" s="401"/>
    </row>
    <row r="10" s="390" customFormat="1" ht="15" customHeight="1" spans="1:6">
      <c r="A10" s="402" t="s">
        <v>13</v>
      </c>
      <c r="B10" s="402"/>
      <c r="C10" s="402"/>
      <c r="D10" s="403">
        <f>'ORÇAMENTO BÁSICO'!H10</f>
        <v>23058.19</v>
      </c>
      <c r="E10" s="403"/>
      <c r="F10" s="403"/>
    </row>
    <row r="11" s="390" customFormat="1" ht="15" customHeight="1" spans="1:6">
      <c r="A11" s="404" t="s">
        <v>14</v>
      </c>
      <c r="B11" s="401" t="str">
        <f>'ORÇAMENTO BÁSICO'!B18</f>
        <v>DEMOLIÇÕES </v>
      </c>
      <c r="C11" s="401"/>
      <c r="D11" s="401"/>
      <c r="E11" s="401"/>
      <c r="F11" s="401"/>
    </row>
    <row r="12" s="390" customFormat="1" ht="15" customHeight="1" spans="1:6">
      <c r="A12" s="402" t="s">
        <v>15</v>
      </c>
      <c r="B12" s="402"/>
      <c r="C12" s="402"/>
      <c r="D12" s="405">
        <f>'ORÇAMENTO BÁSICO'!H18</f>
        <v>23608.13</v>
      </c>
      <c r="E12" s="405"/>
      <c r="F12" s="405"/>
    </row>
    <row r="13" s="390" customFormat="1" ht="15" customHeight="1" spans="1:6">
      <c r="A13" s="400" t="s">
        <v>16</v>
      </c>
      <c r="B13" s="401" t="str">
        <f>'ORÇAMENTO BÁSICO'!B33</f>
        <v>REVESTIMENTOS</v>
      </c>
      <c r="C13" s="401"/>
      <c r="D13" s="401"/>
      <c r="E13" s="401"/>
      <c r="F13" s="401"/>
    </row>
    <row r="14" s="390" customFormat="1" ht="15" customHeight="1" spans="1:6">
      <c r="A14" s="402" t="s">
        <v>17</v>
      </c>
      <c r="B14" s="402"/>
      <c r="C14" s="402"/>
      <c r="D14" s="405">
        <f>'ORÇAMENTO BÁSICO'!H33</f>
        <v>119162.03</v>
      </c>
      <c r="E14" s="405"/>
      <c r="F14" s="405"/>
    </row>
    <row r="15" s="390" customFormat="1" ht="15" customHeight="1" spans="1:6">
      <c r="A15" s="400" t="s">
        <v>18</v>
      </c>
      <c r="B15" s="401" t="str">
        <f>'ORÇAMENTO BÁSICO'!B45</f>
        <v>CONCRETO (ESTRUTURA DA CAIXA D'AGUA)</v>
      </c>
      <c r="C15" s="401"/>
      <c r="D15" s="401"/>
      <c r="E15" s="401"/>
      <c r="F15" s="401"/>
    </row>
    <row r="16" s="390" customFormat="1" ht="15" customHeight="1" spans="1:6">
      <c r="A16" s="402" t="s">
        <v>19</v>
      </c>
      <c r="B16" s="402"/>
      <c r="C16" s="402"/>
      <c r="D16" s="405">
        <f>'ORÇAMENTO BÁSICO'!H45</f>
        <v>11558.47</v>
      </c>
      <c r="E16" s="405"/>
      <c r="F16" s="405"/>
    </row>
    <row r="17" s="390" customFormat="1" ht="15" customHeight="1" spans="1:6">
      <c r="A17" s="406" t="s">
        <v>20</v>
      </c>
      <c r="B17" s="401" t="str">
        <f>'ORÇAMENTO BÁSICO'!B54</f>
        <v>COBERTA</v>
      </c>
      <c r="C17" s="401"/>
      <c r="D17" s="401"/>
      <c r="E17" s="401"/>
      <c r="F17" s="401"/>
    </row>
    <row r="18" s="390" customFormat="1" ht="15" customHeight="1" spans="1:6">
      <c r="A18" s="402" t="s">
        <v>21</v>
      </c>
      <c r="B18" s="402"/>
      <c r="C18" s="402"/>
      <c r="D18" s="405">
        <f>'ORÇAMENTO BÁSICO'!H54</f>
        <v>68736.36</v>
      </c>
      <c r="E18" s="405"/>
      <c r="F18" s="405"/>
    </row>
    <row r="19" s="390" customFormat="1" ht="15" customHeight="1" spans="1:6">
      <c r="A19" s="400" t="s">
        <v>22</v>
      </c>
      <c r="B19" s="401" t="str">
        <f>'ORÇAMENTO BÁSICO'!B59</f>
        <v>ESQUADRIAS</v>
      </c>
      <c r="C19" s="401"/>
      <c r="D19" s="401"/>
      <c r="E19" s="401"/>
      <c r="F19" s="401"/>
    </row>
    <row r="20" s="390" customFormat="1" ht="15" customHeight="1" spans="1:6">
      <c r="A20" s="402" t="s">
        <v>23</v>
      </c>
      <c r="B20" s="402"/>
      <c r="C20" s="402"/>
      <c r="D20" s="405">
        <f>'ORÇAMENTO BÁSICO'!H59</f>
        <v>25476.43</v>
      </c>
      <c r="E20" s="405"/>
      <c r="F20" s="405"/>
    </row>
    <row r="21" s="390" customFormat="1" ht="15" customHeight="1" spans="1:6">
      <c r="A21" s="400" t="s">
        <v>24</v>
      </c>
      <c r="B21" s="401" t="str">
        <f>'ORÇAMENTO BÁSICO'!B65</f>
        <v>PINTURAS</v>
      </c>
      <c r="C21" s="401"/>
      <c r="D21" s="401"/>
      <c r="E21" s="401"/>
      <c r="F21" s="401"/>
    </row>
    <row r="22" s="390" customFormat="1" ht="15" customHeight="1" spans="1:6">
      <c r="A22" s="402" t="s">
        <v>25</v>
      </c>
      <c r="B22" s="402"/>
      <c r="C22" s="402"/>
      <c r="D22" s="405">
        <f>'ORÇAMENTO BÁSICO'!H65</f>
        <v>42479.09</v>
      </c>
      <c r="E22" s="405"/>
      <c r="F22" s="405"/>
    </row>
    <row r="23" s="390" customFormat="1" ht="15" customHeight="1" spans="1:6">
      <c r="A23" s="400" t="s">
        <v>26</v>
      </c>
      <c r="B23" s="401" t="str">
        <f>'ORÇAMENTO BÁSICO'!B71</f>
        <v>PÁTIO</v>
      </c>
      <c r="C23" s="401"/>
      <c r="D23" s="401"/>
      <c r="E23" s="401"/>
      <c r="F23" s="401"/>
    </row>
    <row r="24" s="390" customFormat="1" ht="15" customHeight="1" spans="1:6">
      <c r="A24" s="402" t="s">
        <v>27</v>
      </c>
      <c r="B24" s="402"/>
      <c r="C24" s="402"/>
      <c r="D24" s="405">
        <f>'ORÇAMENTO BÁSICO'!H71</f>
        <v>68904.3</v>
      </c>
      <c r="E24" s="405"/>
      <c r="F24" s="405"/>
    </row>
    <row r="25" s="390" customFormat="1" ht="15" customHeight="1" spans="1:6">
      <c r="A25" s="400" t="s">
        <v>28</v>
      </c>
      <c r="B25" s="401" t="str">
        <f>'ORÇAMENTO BÁSICO'!B77</f>
        <v>INSTALAÇÕES ELÉTRICAS</v>
      </c>
      <c r="C25" s="401"/>
      <c r="D25" s="401"/>
      <c r="E25" s="401"/>
      <c r="F25" s="401"/>
    </row>
    <row r="26" s="390" customFormat="1" ht="15" customHeight="1" spans="1:6">
      <c r="A26" s="402" t="s">
        <v>29</v>
      </c>
      <c r="B26" s="402"/>
      <c r="C26" s="402"/>
      <c r="D26" s="405">
        <f>'ORÇAMENTO BÁSICO'!H77</f>
        <v>31899.28</v>
      </c>
      <c r="E26" s="405"/>
      <c r="F26" s="405"/>
    </row>
    <row r="27" s="390" customFormat="1" ht="15" customHeight="1" spans="1:6">
      <c r="A27" s="400" t="s">
        <v>30</v>
      </c>
      <c r="B27" s="401" t="str">
        <f>'ORÇAMENTO BÁSICO'!B95</f>
        <v>INSTALAÇÕES HIDROSSANITÁRIAS</v>
      </c>
      <c r="C27" s="401"/>
      <c r="D27" s="401"/>
      <c r="E27" s="401"/>
      <c r="F27" s="401"/>
    </row>
    <row r="28" s="390" customFormat="1" ht="15" customHeight="1" spans="1:6">
      <c r="A28" s="402" t="s">
        <v>31</v>
      </c>
      <c r="B28" s="402"/>
      <c r="C28" s="402"/>
      <c r="D28" s="405">
        <f>'ORÇAMENTO BÁSICO'!H95</f>
        <v>2567.49</v>
      </c>
      <c r="E28" s="405"/>
      <c r="F28" s="405"/>
    </row>
    <row r="29" s="390" customFormat="1" ht="15" customHeight="1" spans="1:6">
      <c r="A29" s="400" t="s">
        <v>32</v>
      </c>
      <c r="B29" s="401" t="str">
        <f>'ORÇAMENTO BÁSICO'!B103</f>
        <v>DRENAGEM</v>
      </c>
      <c r="C29" s="401"/>
      <c r="D29" s="401"/>
      <c r="E29" s="401"/>
      <c r="F29" s="401"/>
    </row>
    <row r="30" s="390" customFormat="1" ht="15" customHeight="1" spans="1:6">
      <c r="A30" s="402" t="s">
        <v>33</v>
      </c>
      <c r="B30" s="402"/>
      <c r="C30" s="402"/>
      <c r="D30" s="405">
        <f>'ORÇAMENTO BÁSICO'!H103</f>
        <v>31190.33</v>
      </c>
      <c r="E30" s="405"/>
      <c r="F30" s="405"/>
    </row>
    <row r="31" s="390" customFormat="1" ht="15" customHeight="1" spans="1:6">
      <c r="A31" s="400" t="s">
        <v>34</v>
      </c>
      <c r="B31" s="401" t="str">
        <f>'ORÇAMENTO BÁSICO'!B115</f>
        <v>RECUPERAÇÃO DA FOSSA</v>
      </c>
      <c r="C31" s="401"/>
      <c r="D31" s="401"/>
      <c r="E31" s="401"/>
      <c r="F31" s="401"/>
    </row>
    <row r="32" s="390" customFormat="1" ht="15" customHeight="1" spans="1:6">
      <c r="A32" s="402" t="s">
        <v>35</v>
      </c>
      <c r="B32" s="402"/>
      <c r="C32" s="402"/>
      <c r="D32" s="405">
        <f>'ORÇAMENTO BÁSICO'!H115</f>
        <v>5093.61</v>
      </c>
      <c r="E32" s="405"/>
      <c r="F32" s="405"/>
    </row>
    <row r="33" s="390" customFormat="1" ht="15" customHeight="1" spans="1:6">
      <c r="A33" s="407" t="s">
        <v>36</v>
      </c>
      <c r="B33" s="401" t="str">
        <f>'ORÇAMENTO BÁSICO'!B124</f>
        <v>FILTRO ANAERÓBICO</v>
      </c>
      <c r="C33" s="401"/>
      <c r="D33" s="401"/>
      <c r="E33" s="401"/>
      <c r="F33" s="401"/>
    </row>
    <row r="34" s="390" customFormat="1" ht="15" customHeight="1" spans="1:6">
      <c r="A34" s="402" t="s">
        <v>37</v>
      </c>
      <c r="B34" s="402"/>
      <c r="C34" s="402"/>
      <c r="D34" s="405">
        <f>'ORÇAMENTO BÁSICO'!H124</f>
        <v>17994.45</v>
      </c>
      <c r="E34" s="405"/>
      <c r="F34" s="405"/>
    </row>
    <row r="35" s="390" customFormat="1" ht="15" customHeight="1" spans="1:6">
      <c r="A35" s="400" t="s">
        <v>38</v>
      </c>
      <c r="B35" s="401" t="str">
        <f>'ORÇAMENTO BÁSICO'!B138</f>
        <v>REFORÇO DA PAREDE DA DESPENSA</v>
      </c>
      <c r="C35" s="401"/>
      <c r="D35" s="401"/>
      <c r="E35" s="401"/>
      <c r="F35" s="401"/>
    </row>
    <row r="36" s="390" customFormat="1" ht="15" customHeight="1" spans="1:6">
      <c r="A36" s="402" t="s">
        <v>39</v>
      </c>
      <c r="B36" s="402"/>
      <c r="C36" s="402"/>
      <c r="D36" s="405">
        <f>'ORÇAMENTO BÁSICO'!H138</f>
        <v>4315.16</v>
      </c>
      <c r="E36" s="405"/>
      <c r="F36" s="405"/>
    </row>
    <row r="37" s="390" customFormat="1" ht="15" customHeight="1" spans="1:6">
      <c r="A37" s="400" t="s">
        <v>40</v>
      </c>
      <c r="B37" s="401" t="str">
        <f>'ORÇAMENTO BÁSICO'!B149</f>
        <v>SERVIÇOS COMPLEMENTARES</v>
      </c>
      <c r="C37" s="401"/>
      <c r="D37" s="401"/>
      <c r="E37" s="401"/>
      <c r="F37" s="401"/>
    </row>
    <row r="38" s="390" customFormat="1" ht="15" customHeight="1" spans="1:6">
      <c r="A38" s="402" t="s">
        <v>41</v>
      </c>
      <c r="B38" s="402"/>
      <c r="C38" s="402"/>
      <c r="D38" s="405">
        <f>'ORÇAMENTO BÁSICO'!H149</f>
        <v>32854.73</v>
      </c>
      <c r="E38" s="405"/>
      <c r="F38" s="405"/>
    </row>
    <row r="39" s="390" customFormat="1" ht="15" customHeight="1" spans="1:6">
      <c r="A39" s="400" t="s">
        <v>42</v>
      </c>
      <c r="B39" s="401" t="str">
        <f>'ORÇAMENTO BÁSICO'!B154</f>
        <v>LIMPEZA</v>
      </c>
      <c r="C39" s="401"/>
      <c r="D39" s="401"/>
      <c r="E39" s="401"/>
      <c r="F39" s="401"/>
    </row>
    <row r="40" s="390" customFormat="1" ht="15" customHeight="1" spans="1:6">
      <c r="A40" s="402" t="s">
        <v>43</v>
      </c>
      <c r="B40" s="402"/>
      <c r="C40" s="402"/>
      <c r="D40" s="405">
        <f>'ORÇAMENTO BÁSICO'!H154</f>
        <v>1282.5</v>
      </c>
      <c r="E40" s="405"/>
      <c r="F40" s="405"/>
    </row>
    <row r="41" s="390" customFormat="1" ht="15" customHeight="1" spans="1:6">
      <c r="A41" s="408" t="s">
        <v>44</v>
      </c>
      <c r="B41" s="408"/>
      <c r="C41" s="408"/>
      <c r="D41" s="408"/>
      <c r="E41" s="408"/>
      <c r="F41" s="409">
        <f>SUM(D10:F40)</f>
        <v>510180.55</v>
      </c>
    </row>
    <row r="42" s="390" customFormat="1" ht="20" customHeight="1" spans="1:6">
      <c r="A42" s="410" t="str">
        <f>'ORÇAMENTO BÁSICO'!C158</f>
        <v>(QUINHENTOS E DEZ MIL,  CENTO E OITENTA REAIS E  CINQUENTA E CINCO CENTAVOS)</v>
      </c>
      <c r="B42" s="410"/>
      <c r="C42" s="410"/>
      <c r="D42" s="410"/>
      <c r="E42" s="410"/>
      <c r="F42" s="410"/>
    </row>
    <row r="43" ht="14.25" customHeight="1" spans="1:6">
      <c r="A43" s="411"/>
      <c r="B43" s="412"/>
      <c r="C43" s="413"/>
      <c r="D43" s="413"/>
      <c r="E43" s="413"/>
      <c r="F43" s="414"/>
    </row>
    <row r="44" ht="14.25" customHeight="1" spans="1:6">
      <c r="A44" s="411"/>
      <c r="B44" s="412"/>
      <c r="C44" s="413"/>
      <c r="D44" s="413"/>
      <c r="E44" s="413"/>
      <c r="F44" s="414"/>
    </row>
    <row r="45" ht="14.25" customHeight="1" spans="1:5">
      <c r="A45" s="390"/>
      <c r="C45" s="390"/>
      <c r="D45" s="390"/>
      <c r="E45" s="390"/>
    </row>
    <row r="46" ht="14.25" customHeight="1" spans="1:217">
      <c r="A46" s="390"/>
      <c r="C46" s="390"/>
      <c r="D46" s="390"/>
      <c r="E46" s="390"/>
      <c r="DU46" s="391"/>
      <c r="DV46" s="391"/>
      <c r="DW46" s="391"/>
      <c r="DX46" s="391"/>
      <c r="DY46" s="391"/>
      <c r="DZ46" s="391"/>
      <c r="EA46" s="391"/>
      <c r="EB46" s="391"/>
      <c r="EC46" s="391"/>
      <c r="ED46" s="391"/>
      <c r="EE46" s="391"/>
      <c r="EF46" s="391"/>
      <c r="EG46" s="391"/>
      <c r="EH46" s="391"/>
      <c r="EI46" s="391"/>
      <c r="EJ46" s="391"/>
      <c r="EK46" s="391"/>
      <c r="EL46" s="391"/>
      <c r="EM46" s="391"/>
      <c r="EN46" s="391"/>
      <c r="EO46" s="391"/>
      <c r="EP46" s="391"/>
      <c r="EQ46" s="391"/>
      <c r="ER46" s="391"/>
      <c r="ES46" s="391"/>
      <c r="ET46" s="391"/>
      <c r="EU46" s="391"/>
      <c r="EV46" s="391"/>
      <c r="EW46" s="391"/>
      <c r="EX46" s="391"/>
      <c r="EY46" s="391"/>
      <c r="EZ46" s="391"/>
      <c r="FA46" s="391"/>
      <c r="FB46" s="391"/>
      <c r="FC46" s="391"/>
      <c r="FD46" s="391"/>
      <c r="FE46" s="391"/>
      <c r="FF46" s="391"/>
      <c r="FG46" s="391"/>
      <c r="FH46" s="391"/>
      <c r="FI46" s="391"/>
      <c r="FJ46" s="391"/>
      <c r="FK46" s="391"/>
      <c r="FL46" s="391"/>
      <c r="FM46" s="391"/>
      <c r="FN46" s="391"/>
      <c r="FO46" s="391"/>
      <c r="FP46" s="391"/>
      <c r="FQ46" s="391"/>
      <c r="FR46" s="391"/>
      <c r="FS46" s="391"/>
      <c r="FT46" s="391"/>
      <c r="FU46" s="391"/>
      <c r="FV46" s="391"/>
      <c r="FW46" s="391"/>
      <c r="FX46" s="391"/>
      <c r="FY46" s="391"/>
      <c r="FZ46" s="391"/>
      <c r="GA46" s="391"/>
      <c r="GB46" s="391"/>
      <c r="GC46" s="391"/>
      <c r="GD46" s="391"/>
      <c r="GE46" s="391"/>
      <c r="GF46" s="391"/>
      <c r="GG46" s="391"/>
      <c r="GH46" s="391"/>
      <c r="GI46" s="391"/>
      <c r="GJ46" s="391"/>
      <c r="GK46" s="391"/>
      <c r="GL46" s="391"/>
      <c r="GM46" s="391"/>
      <c r="GN46" s="391"/>
      <c r="GO46" s="391"/>
      <c r="GP46" s="391"/>
      <c r="GQ46" s="391"/>
      <c r="GR46" s="391"/>
      <c r="GS46" s="391"/>
      <c r="GT46" s="391"/>
      <c r="GU46" s="391"/>
      <c r="GV46" s="391"/>
      <c r="GW46" s="391"/>
      <c r="GX46" s="391"/>
      <c r="GY46" s="391"/>
      <c r="GZ46" s="391"/>
      <c r="HA46" s="391"/>
      <c r="HB46" s="391"/>
      <c r="HC46" s="391"/>
      <c r="HD46" s="391"/>
      <c r="HE46" s="391"/>
      <c r="HF46" s="391"/>
      <c r="HG46" s="391"/>
      <c r="HH46" s="391"/>
      <c r="HI46" s="391"/>
    </row>
    <row r="47" spans="1:217">
      <c r="A47" s="390"/>
      <c r="C47" s="390"/>
      <c r="D47" s="390"/>
      <c r="E47" s="390"/>
      <c r="DU47" s="391"/>
      <c r="DV47" s="391"/>
      <c r="DW47" s="391"/>
      <c r="DX47" s="391"/>
      <c r="DY47" s="391"/>
      <c r="DZ47" s="391"/>
      <c r="EA47" s="391"/>
      <c r="EB47" s="391"/>
      <c r="EC47" s="391"/>
      <c r="ED47" s="391"/>
      <c r="EE47" s="391"/>
      <c r="EF47" s="391"/>
      <c r="EG47" s="391"/>
      <c r="EH47" s="391"/>
      <c r="EI47" s="391"/>
      <c r="EJ47" s="391"/>
      <c r="EK47" s="391"/>
      <c r="EL47" s="391"/>
      <c r="EM47" s="391"/>
      <c r="EN47" s="391"/>
      <c r="EO47" s="391"/>
      <c r="EP47" s="391"/>
      <c r="EQ47" s="391"/>
      <c r="ER47" s="391"/>
      <c r="ES47" s="391"/>
      <c r="ET47" s="391"/>
      <c r="EU47" s="391"/>
      <c r="EV47" s="391"/>
      <c r="EW47" s="391"/>
      <c r="EX47" s="391"/>
      <c r="EY47" s="391"/>
      <c r="EZ47" s="391"/>
      <c r="FA47" s="391"/>
      <c r="FB47" s="391"/>
      <c r="FC47" s="391"/>
      <c r="FD47" s="391"/>
      <c r="FE47" s="391"/>
      <c r="FF47" s="391"/>
      <c r="FG47" s="391"/>
      <c r="FH47" s="391"/>
      <c r="FI47" s="391"/>
      <c r="FJ47" s="391"/>
      <c r="FK47" s="391"/>
      <c r="FL47" s="391"/>
      <c r="FM47" s="391"/>
      <c r="FN47" s="391"/>
      <c r="FO47" s="391"/>
      <c r="FP47" s="391"/>
      <c r="FQ47" s="391"/>
      <c r="FR47" s="391"/>
      <c r="FS47" s="391"/>
      <c r="FT47" s="391"/>
      <c r="FU47" s="391"/>
      <c r="FV47" s="391"/>
      <c r="FW47" s="391"/>
      <c r="FX47" s="391"/>
      <c r="FY47" s="391"/>
      <c r="FZ47" s="391"/>
      <c r="GA47" s="391"/>
      <c r="GB47" s="391"/>
      <c r="GC47" s="391"/>
      <c r="GD47" s="391"/>
      <c r="GE47" s="391"/>
      <c r="GF47" s="391"/>
      <c r="GG47" s="391"/>
      <c r="GH47" s="391"/>
      <c r="GI47" s="391"/>
      <c r="GJ47" s="391"/>
      <c r="GK47" s="391"/>
      <c r="GL47" s="391"/>
      <c r="GM47" s="391"/>
      <c r="GN47" s="391"/>
      <c r="GO47" s="391"/>
      <c r="GP47" s="391"/>
      <c r="GQ47" s="391"/>
      <c r="GR47" s="391"/>
      <c r="GS47" s="391"/>
      <c r="GT47" s="391"/>
      <c r="GU47" s="391"/>
      <c r="GV47" s="391"/>
      <c r="GW47" s="391"/>
      <c r="GX47" s="391"/>
      <c r="GY47" s="391"/>
      <c r="GZ47" s="391"/>
      <c r="HA47" s="391"/>
      <c r="HB47" s="391"/>
      <c r="HC47" s="391"/>
      <c r="HD47" s="391"/>
      <c r="HE47" s="391"/>
      <c r="HF47" s="391"/>
      <c r="HG47" s="391"/>
      <c r="HH47" s="391"/>
      <c r="HI47" s="391"/>
    </row>
    <row r="48" spans="1:217">
      <c r="A48" s="390"/>
      <c r="C48" s="390"/>
      <c r="D48" s="390"/>
      <c r="E48" s="390"/>
      <c r="DU48" s="391"/>
      <c r="DV48" s="391"/>
      <c r="DW48" s="391"/>
      <c r="DX48" s="391"/>
      <c r="DY48" s="391"/>
      <c r="DZ48" s="391"/>
      <c r="EA48" s="391"/>
      <c r="EB48" s="391"/>
      <c r="EC48" s="391"/>
      <c r="ED48" s="391"/>
      <c r="EE48" s="391"/>
      <c r="EF48" s="391"/>
      <c r="EG48" s="391"/>
      <c r="EH48" s="391"/>
      <c r="EI48" s="391"/>
      <c r="EJ48" s="391"/>
      <c r="EK48" s="391"/>
      <c r="EL48" s="391"/>
      <c r="EM48" s="391"/>
      <c r="EN48" s="391"/>
      <c r="EO48" s="391"/>
      <c r="EP48" s="391"/>
      <c r="EQ48" s="391"/>
      <c r="ER48" s="391"/>
      <c r="ES48" s="391"/>
      <c r="ET48" s="391"/>
      <c r="EU48" s="391"/>
      <c r="EV48" s="391"/>
      <c r="EW48" s="391"/>
      <c r="EX48" s="391"/>
      <c r="EY48" s="391"/>
      <c r="EZ48" s="391"/>
      <c r="FA48" s="391"/>
      <c r="FB48" s="391"/>
      <c r="FC48" s="391"/>
      <c r="FD48" s="391"/>
      <c r="FE48" s="391"/>
      <c r="FF48" s="391"/>
      <c r="FG48" s="391"/>
      <c r="FH48" s="391"/>
      <c r="FI48" s="391"/>
      <c r="FJ48" s="391"/>
      <c r="FK48" s="391"/>
      <c r="FL48" s="391"/>
      <c r="FM48" s="391"/>
      <c r="FN48" s="391"/>
      <c r="FO48" s="391"/>
      <c r="FP48" s="391"/>
      <c r="FQ48" s="391"/>
      <c r="FR48" s="391"/>
      <c r="FS48" s="391"/>
      <c r="FT48" s="391"/>
      <c r="FU48" s="391"/>
      <c r="FV48" s="391"/>
      <c r="FW48" s="391"/>
      <c r="FX48" s="391"/>
      <c r="FY48" s="391"/>
      <c r="FZ48" s="391"/>
      <c r="GA48" s="391"/>
      <c r="GB48" s="391"/>
      <c r="GC48" s="391"/>
      <c r="GD48" s="391"/>
      <c r="GE48" s="391"/>
      <c r="GF48" s="391"/>
      <c r="GG48" s="391"/>
      <c r="GH48" s="391"/>
      <c r="GI48" s="391"/>
      <c r="GJ48" s="391"/>
      <c r="GK48" s="391"/>
      <c r="GL48" s="391"/>
      <c r="GM48" s="391"/>
      <c r="GN48" s="391"/>
      <c r="GO48" s="391"/>
      <c r="GP48" s="391"/>
      <c r="GQ48" s="391"/>
      <c r="GR48" s="391"/>
      <c r="GS48" s="391"/>
      <c r="GT48" s="391"/>
      <c r="GU48" s="391"/>
      <c r="GV48" s="391"/>
      <c r="GW48" s="391"/>
      <c r="GX48" s="391"/>
      <c r="GY48" s="391"/>
      <c r="GZ48" s="391"/>
      <c r="HA48" s="391"/>
      <c r="HB48" s="391"/>
      <c r="HC48" s="391"/>
      <c r="HD48" s="391"/>
      <c r="HE48" s="391"/>
      <c r="HF48" s="391"/>
      <c r="HG48" s="391"/>
      <c r="HH48" s="391"/>
      <c r="HI48" s="391"/>
    </row>
    <row r="49" spans="1:217">
      <c r="A49" s="390"/>
      <c r="C49" s="390"/>
      <c r="D49" s="390"/>
      <c r="E49" s="390"/>
      <c r="DU49" s="391"/>
      <c r="DV49" s="391"/>
      <c r="DW49" s="391"/>
      <c r="DX49" s="391"/>
      <c r="DY49" s="391"/>
      <c r="DZ49" s="391"/>
      <c r="EA49" s="391"/>
      <c r="EB49" s="391"/>
      <c r="EC49" s="391"/>
      <c r="ED49" s="391"/>
      <c r="EE49" s="391"/>
      <c r="EF49" s="391"/>
      <c r="EG49" s="391"/>
      <c r="EH49" s="391"/>
      <c r="EI49" s="391"/>
      <c r="EJ49" s="391"/>
      <c r="EK49" s="391"/>
      <c r="EL49" s="391"/>
      <c r="EM49" s="391"/>
      <c r="EN49" s="391"/>
      <c r="EO49" s="391"/>
      <c r="EP49" s="391"/>
      <c r="EQ49" s="391"/>
      <c r="ER49" s="391"/>
      <c r="ES49" s="391"/>
      <c r="ET49" s="391"/>
      <c r="EU49" s="391"/>
      <c r="EV49" s="391"/>
      <c r="EW49" s="391"/>
      <c r="EX49" s="391"/>
      <c r="EY49" s="391"/>
      <c r="EZ49" s="391"/>
      <c r="FA49" s="391"/>
      <c r="FB49" s="391"/>
      <c r="FC49" s="391"/>
      <c r="FD49" s="391"/>
      <c r="FE49" s="391"/>
      <c r="FF49" s="391"/>
      <c r="FG49" s="391"/>
      <c r="FH49" s="391"/>
      <c r="FI49" s="391"/>
      <c r="FJ49" s="391"/>
      <c r="FK49" s="391"/>
      <c r="FL49" s="391"/>
      <c r="FM49" s="391"/>
      <c r="FN49" s="391"/>
      <c r="FO49" s="391"/>
      <c r="FP49" s="391"/>
      <c r="FQ49" s="391"/>
      <c r="FR49" s="391"/>
      <c r="FS49" s="391"/>
      <c r="FT49" s="391"/>
      <c r="FU49" s="391"/>
      <c r="FV49" s="391"/>
      <c r="FW49" s="391"/>
      <c r="FX49" s="391"/>
      <c r="FY49" s="391"/>
      <c r="FZ49" s="391"/>
      <c r="GA49" s="391"/>
      <c r="GB49" s="391"/>
      <c r="GC49" s="391"/>
      <c r="GD49" s="391"/>
      <c r="GE49" s="391"/>
      <c r="GF49" s="391"/>
      <c r="GG49" s="391"/>
      <c r="GH49" s="391"/>
      <c r="GI49" s="391"/>
      <c r="GJ49" s="391"/>
      <c r="GK49" s="391"/>
      <c r="GL49" s="391"/>
      <c r="GM49" s="391"/>
      <c r="GN49" s="391"/>
      <c r="GO49" s="391"/>
      <c r="GP49" s="391"/>
      <c r="GQ49" s="391"/>
      <c r="GR49" s="391"/>
      <c r="GS49" s="391"/>
      <c r="GT49" s="391"/>
      <c r="GU49" s="391"/>
      <c r="GV49" s="391"/>
      <c r="GW49" s="391"/>
      <c r="GX49" s="391"/>
      <c r="GY49" s="391"/>
      <c r="GZ49" s="391"/>
      <c r="HA49" s="391"/>
      <c r="HB49" s="391"/>
      <c r="HC49" s="391"/>
      <c r="HD49" s="391"/>
      <c r="HE49" s="391"/>
      <c r="HF49" s="391"/>
      <c r="HG49" s="391"/>
      <c r="HH49" s="391"/>
      <c r="HI49" s="391"/>
    </row>
    <row r="50" spans="1:217">
      <c r="A50" s="390"/>
      <c r="C50" s="390"/>
      <c r="D50" s="390"/>
      <c r="E50" s="390"/>
      <c r="DU50" s="391"/>
      <c r="DV50" s="391"/>
      <c r="DW50" s="391"/>
      <c r="DX50" s="391"/>
      <c r="DY50" s="391"/>
      <c r="DZ50" s="391"/>
      <c r="EA50" s="391"/>
      <c r="EB50" s="391"/>
      <c r="EC50" s="391"/>
      <c r="ED50" s="391"/>
      <c r="EE50" s="391"/>
      <c r="EF50" s="391"/>
      <c r="EG50" s="391"/>
      <c r="EH50" s="391"/>
      <c r="EI50" s="391"/>
      <c r="EJ50" s="391"/>
      <c r="EK50" s="391"/>
      <c r="EL50" s="391"/>
      <c r="EM50" s="391"/>
      <c r="EN50" s="391"/>
      <c r="EO50" s="391"/>
      <c r="EP50" s="391"/>
      <c r="EQ50" s="391"/>
      <c r="ER50" s="391"/>
      <c r="ES50" s="391"/>
      <c r="ET50" s="391"/>
      <c r="EU50" s="391"/>
      <c r="EV50" s="391"/>
      <c r="EW50" s="391"/>
      <c r="EX50" s="391"/>
      <c r="EY50" s="391"/>
      <c r="EZ50" s="391"/>
      <c r="FA50" s="391"/>
      <c r="FB50" s="391"/>
      <c r="FC50" s="391"/>
      <c r="FD50" s="391"/>
      <c r="FE50" s="391"/>
      <c r="FF50" s="391"/>
      <c r="FG50" s="391"/>
      <c r="FH50" s="391"/>
      <c r="FI50" s="391"/>
      <c r="FJ50" s="391"/>
      <c r="FK50" s="391"/>
      <c r="FL50" s="391"/>
      <c r="FM50" s="391"/>
      <c r="FN50" s="391"/>
      <c r="FO50" s="391"/>
      <c r="FP50" s="391"/>
      <c r="FQ50" s="391"/>
      <c r="FR50" s="391"/>
      <c r="FS50" s="391"/>
      <c r="FT50" s="391"/>
      <c r="FU50" s="391"/>
      <c r="FV50" s="391"/>
      <c r="FW50" s="391"/>
      <c r="FX50" s="391"/>
      <c r="FY50" s="391"/>
      <c r="FZ50" s="391"/>
      <c r="GA50" s="391"/>
      <c r="GB50" s="391"/>
      <c r="GC50" s="391"/>
      <c r="GD50" s="391"/>
      <c r="GE50" s="391"/>
      <c r="GF50" s="391"/>
      <c r="GG50" s="391"/>
      <c r="GH50" s="391"/>
      <c r="GI50" s="391"/>
      <c r="GJ50" s="391"/>
      <c r="GK50" s="391"/>
      <c r="GL50" s="391"/>
      <c r="GM50" s="391"/>
      <c r="GN50" s="391"/>
      <c r="GO50" s="391"/>
      <c r="GP50" s="391"/>
      <c r="GQ50" s="391"/>
      <c r="GR50" s="391"/>
      <c r="GS50" s="391"/>
      <c r="GT50" s="391"/>
      <c r="GU50" s="391"/>
      <c r="GV50" s="391"/>
      <c r="GW50" s="391"/>
      <c r="GX50" s="391"/>
      <c r="GY50" s="391"/>
      <c r="GZ50" s="391"/>
      <c r="HA50" s="391"/>
      <c r="HB50" s="391"/>
      <c r="HC50" s="391"/>
      <c r="HD50" s="391"/>
      <c r="HE50" s="391"/>
      <c r="HF50" s="391"/>
      <c r="HG50" s="391"/>
      <c r="HH50" s="391"/>
      <c r="HI50" s="391"/>
    </row>
    <row r="51" spans="1:217">
      <c r="A51" s="390"/>
      <c r="C51" s="390"/>
      <c r="D51" s="390"/>
      <c r="E51" s="390"/>
      <c r="DU51" s="391"/>
      <c r="DV51" s="391"/>
      <c r="DW51" s="391"/>
      <c r="DX51" s="391"/>
      <c r="DY51" s="391"/>
      <c r="DZ51" s="391"/>
      <c r="EA51" s="391"/>
      <c r="EB51" s="391"/>
      <c r="EC51" s="391"/>
      <c r="ED51" s="391"/>
      <c r="EE51" s="391"/>
      <c r="EF51" s="391"/>
      <c r="EG51" s="391"/>
      <c r="EH51" s="391"/>
      <c r="EI51" s="391"/>
      <c r="EJ51" s="391"/>
      <c r="EK51" s="391"/>
      <c r="EL51" s="391"/>
      <c r="EM51" s="391"/>
      <c r="EN51" s="391"/>
      <c r="EO51" s="391"/>
      <c r="EP51" s="391"/>
      <c r="EQ51" s="391"/>
      <c r="ER51" s="391"/>
      <c r="ES51" s="391"/>
      <c r="ET51" s="391"/>
      <c r="EU51" s="391"/>
      <c r="EV51" s="391"/>
      <c r="EW51" s="391"/>
      <c r="EX51" s="391"/>
      <c r="EY51" s="391"/>
      <c r="EZ51" s="391"/>
      <c r="FA51" s="391"/>
      <c r="FB51" s="391"/>
      <c r="FC51" s="391"/>
      <c r="FD51" s="391"/>
      <c r="FE51" s="391"/>
      <c r="FF51" s="391"/>
      <c r="FG51" s="391"/>
      <c r="FH51" s="391"/>
      <c r="FI51" s="391"/>
      <c r="FJ51" s="391"/>
      <c r="FK51" s="391"/>
      <c r="FL51" s="391"/>
      <c r="FM51" s="391"/>
      <c r="FN51" s="391"/>
      <c r="FO51" s="391"/>
      <c r="FP51" s="391"/>
      <c r="FQ51" s="391"/>
      <c r="FR51" s="391"/>
      <c r="FS51" s="391"/>
      <c r="FT51" s="391"/>
      <c r="FU51" s="391"/>
      <c r="FV51" s="391"/>
      <c r="FW51" s="391"/>
      <c r="FX51" s="391"/>
      <c r="FY51" s="391"/>
      <c r="FZ51" s="391"/>
      <c r="GA51" s="391"/>
      <c r="GB51" s="391"/>
      <c r="GC51" s="391"/>
      <c r="GD51" s="391"/>
      <c r="GE51" s="391"/>
      <c r="GF51" s="391"/>
      <c r="GG51" s="391"/>
      <c r="GH51" s="391"/>
      <c r="GI51" s="391"/>
      <c r="GJ51" s="391"/>
      <c r="GK51" s="391"/>
      <c r="GL51" s="391"/>
      <c r="GM51" s="391"/>
      <c r="GN51" s="391"/>
      <c r="GO51" s="391"/>
      <c r="GP51" s="391"/>
      <c r="GQ51" s="391"/>
      <c r="GR51" s="391"/>
      <c r="GS51" s="391"/>
      <c r="GT51" s="391"/>
      <c r="GU51" s="391"/>
      <c r="GV51" s="391"/>
      <c r="GW51" s="391"/>
      <c r="GX51" s="391"/>
      <c r="GY51" s="391"/>
      <c r="GZ51" s="391"/>
      <c r="HA51" s="391"/>
      <c r="HB51" s="391"/>
      <c r="HC51" s="391"/>
      <c r="HD51" s="391"/>
      <c r="HE51" s="391"/>
      <c r="HF51" s="391"/>
      <c r="HG51" s="391"/>
      <c r="HH51" s="391"/>
      <c r="HI51" s="391"/>
    </row>
    <row r="52" spans="1:217">
      <c r="A52" s="390"/>
      <c r="C52" s="390"/>
      <c r="D52" s="390"/>
      <c r="E52" s="390"/>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c r="ER52" s="391"/>
      <c r="ES52" s="391"/>
      <c r="ET52" s="391"/>
      <c r="EU52" s="391"/>
      <c r="EV52" s="391"/>
      <c r="EW52" s="391"/>
      <c r="EX52" s="391"/>
      <c r="EY52" s="391"/>
      <c r="EZ52" s="391"/>
      <c r="FA52" s="391"/>
      <c r="FB52" s="391"/>
      <c r="FC52" s="391"/>
      <c r="FD52" s="391"/>
      <c r="FE52" s="391"/>
      <c r="FF52" s="391"/>
      <c r="FG52" s="391"/>
      <c r="FH52" s="391"/>
      <c r="FI52" s="391"/>
      <c r="FJ52" s="391"/>
      <c r="FK52" s="391"/>
      <c r="FL52" s="391"/>
      <c r="FM52" s="391"/>
      <c r="FN52" s="391"/>
      <c r="FO52" s="391"/>
      <c r="FP52" s="391"/>
      <c r="FQ52" s="391"/>
      <c r="FR52" s="391"/>
      <c r="FS52" s="391"/>
      <c r="FT52" s="391"/>
      <c r="FU52" s="391"/>
      <c r="FV52" s="391"/>
      <c r="FW52" s="391"/>
      <c r="FX52" s="391"/>
      <c r="FY52" s="391"/>
      <c r="FZ52" s="391"/>
      <c r="GA52" s="391"/>
      <c r="GB52" s="391"/>
      <c r="GC52" s="391"/>
      <c r="GD52" s="391"/>
      <c r="GE52" s="391"/>
      <c r="GF52" s="391"/>
      <c r="GG52" s="391"/>
      <c r="GH52" s="391"/>
      <c r="GI52" s="391"/>
      <c r="GJ52" s="391"/>
      <c r="GK52" s="391"/>
      <c r="GL52" s="391"/>
      <c r="GM52" s="391"/>
      <c r="GN52" s="391"/>
      <c r="GO52" s="391"/>
      <c r="GP52" s="391"/>
      <c r="GQ52" s="391"/>
      <c r="GR52" s="391"/>
      <c r="GS52" s="391"/>
      <c r="GT52" s="391"/>
      <c r="GU52" s="391"/>
      <c r="GV52" s="391"/>
      <c r="GW52" s="391"/>
      <c r="GX52" s="391"/>
      <c r="GY52" s="391"/>
      <c r="GZ52" s="391"/>
      <c r="HA52" s="391"/>
      <c r="HB52" s="391"/>
      <c r="HC52" s="391"/>
      <c r="HD52" s="391"/>
      <c r="HE52" s="391"/>
      <c r="HF52" s="391"/>
      <c r="HG52" s="391"/>
      <c r="HH52" s="391"/>
      <c r="HI52" s="391"/>
    </row>
    <row r="53" spans="1:217">
      <c r="A53" s="390"/>
      <c r="C53" s="390"/>
      <c r="D53" s="390"/>
      <c r="E53" s="390"/>
      <c r="DU53" s="391"/>
      <c r="DV53" s="391"/>
      <c r="DW53" s="391"/>
      <c r="DX53" s="391"/>
      <c r="DY53" s="391"/>
      <c r="DZ53" s="391"/>
      <c r="EA53" s="391"/>
      <c r="EB53" s="391"/>
      <c r="EC53" s="391"/>
      <c r="ED53" s="391"/>
      <c r="EE53" s="391"/>
      <c r="EF53" s="391"/>
      <c r="EG53" s="391"/>
      <c r="EH53" s="391"/>
      <c r="EI53" s="391"/>
      <c r="EJ53" s="391"/>
      <c r="EK53" s="391"/>
      <c r="EL53" s="391"/>
      <c r="EM53" s="391"/>
      <c r="EN53" s="391"/>
      <c r="EO53" s="391"/>
      <c r="EP53" s="391"/>
      <c r="EQ53" s="391"/>
      <c r="ER53" s="391"/>
      <c r="ES53" s="391"/>
      <c r="ET53" s="391"/>
      <c r="EU53" s="391"/>
      <c r="EV53" s="391"/>
      <c r="EW53" s="391"/>
      <c r="EX53" s="391"/>
      <c r="EY53" s="391"/>
      <c r="EZ53" s="391"/>
      <c r="FA53" s="391"/>
      <c r="FB53" s="391"/>
      <c r="FC53" s="391"/>
      <c r="FD53" s="391"/>
      <c r="FE53" s="391"/>
      <c r="FF53" s="391"/>
      <c r="FG53" s="391"/>
      <c r="FH53" s="391"/>
      <c r="FI53" s="391"/>
      <c r="FJ53" s="391"/>
      <c r="FK53" s="391"/>
      <c r="FL53" s="391"/>
      <c r="FM53" s="391"/>
      <c r="FN53" s="391"/>
      <c r="FO53" s="391"/>
      <c r="FP53" s="391"/>
      <c r="FQ53" s="391"/>
      <c r="FR53" s="391"/>
      <c r="FS53" s="391"/>
      <c r="FT53" s="391"/>
      <c r="FU53" s="391"/>
      <c r="FV53" s="391"/>
      <c r="FW53" s="391"/>
      <c r="FX53" s="391"/>
      <c r="FY53" s="391"/>
      <c r="FZ53" s="391"/>
      <c r="GA53" s="391"/>
      <c r="GB53" s="391"/>
      <c r="GC53" s="391"/>
      <c r="GD53" s="391"/>
      <c r="GE53" s="391"/>
      <c r="GF53" s="391"/>
      <c r="GG53" s="391"/>
      <c r="GH53" s="391"/>
      <c r="GI53" s="391"/>
      <c r="GJ53" s="391"/>
      <c r="GK53" s="391"/>
      <c r="GL53" s="391"/>
      <c r="GM53" s="391"/>
      <c r="GN53" s="391"/>
      <c r="GO53" s="391"/>
      <c r="GP53" s="391"/>
      <c r="GQ53" s="391"/>
      <c r="GR53" s="391"/>
      <c r="GS53" s="391"/>
      <c r="GT53" s="391"/>
      <c r="GU53" s="391"/>
      <c r="GV53" s="391"/>
      <c r="GW53" s="391"/>
      <c r="GX53" s="391"/>
      <c r="GY53" s="391"/>
      <c r="GZ53" s="391"/>
      <c r="HA53" s="391"/>
      <c r="HB53" s="391"/>
      <c r="HC53" s="391"/>
      <c r="HD53" s="391"/>
      <c r="HE53" s="391"/>
      <c r="HF53" s="391"/>
      <c r="HG53" s="391"/>
      <c r="HH53" s="391"/>
      <c r="HI53" s="391"/>
    </row>
    <row r="54" spans="1:217">
      <c r="A54" s="390"/>
      <c r="C54" s="390"/>
      <c r="D54" s="390"/>
      <c r="E54" s="390"/>
      <c r="DU54" s="391"/>
      <c r="DV54" s="391"/>
      <c r="DW54" s="391"/>
      <c r="DX54" s="391"/>
      <c r="DY54" s="391"/>
      <c r="DZ54" s="391"/>
      <c r="EA54" s="391"/>
      <c r="EB54" s="391"/>
      <c r="EC54" s="391"/>
      <c r="ED54" s="391"/>
      <c r="EE54" s="391"/>
      <c r="EF54" s="391"/>
      <c r="EG54" s="391"/>
      <c r="EH54" s="391"/>
      <c r="EI54" s="391"/>
      <c r="EJ54" s="391"/>
      <c r="EK54" s="391"/>
      <c r="EL54" s="391"/>
      <c r="EM54" s="391"/>
      <c r="EN54" s="391"/>
      <c r="EO54" s="391"/>
      <c r="EP54" s="391"/>
      <c r="EQ54" s="391"/>
      <c r="ER54" s="391"/>
      <c r="ES54" s="391"/>
      <c r="ET54" s="391"/>
      <c r="EU54" s="391"/>
      <c r="EV54" s="391"/>
      <c r="EW54" s="391"/>
      <c r="EX54" s="391"/>
      <c r="EY54" s="391"/>
      <c r="EZ54" s="391"/>
      <c r="FA54" s="391"/>
      <c r="FB54" s="391"/>
      <c r="FC54" s="391"/>
      <c r="FD54" s="391"/>
      <c r="FE54" s="391"/>
      <c r="FF54" s="391"/>
      <c r="FG54" s="391"/>
      <c r="FH54" s="391"/>
      <c r="FI54" s="391"/>
      <c r="FJ54" s="391"/>
      <c r="FK54" s="391"/>
      <c r="FL54" s="391"/>
      <c r="FM54" s="391"/>
      <c r="FN54" s="391"/>
      <c r="FO54" s="391"/>
      <c r="FP54" s="391"/>
      <c r="FQ54" s="391"/>
      <c r="FR54" s="391"/>
      <c r="FS54" s="391"/>
      <c r="FT54" s="391"/>
      <c r="FU54" s="391"/>
      <c r="FV54" s="391"/>
      <c r="FW54" s="391"/>
      <c r="FX54" s="391"/>
      <c r="FY54" s="391"/>
      <c r="FZ54" s="391"/>
      <c r="GA54" s="391"/>
      <c r="GB54" s="391"/>
      <c r="GC54" s="391"/>
      <c r="GD54" s="391"/>
      <c r="GE54" s="391"/>
      <c r="GF54" s="391"/>
      <c r="GG54" s="391"/>
      <c r="GH54" s="391"/>
      <c r="GI54" s="391"/>
      <c r="GJ54" s="391"/>
      <c r="GK54" s="391"/>
      <c r="GL54" s="391"/>
      <c r="GM54" s="391"/>
      <c r="GN54" s="391"/>
      <c r="GO54" s="391"/>
      <c r="GP54" s="391"/>
      <c r="GQ54" s="391"/>
      <c r="GR54" s="391"/>
      <c r="GS54" s="391"/>
      <c r="GT54" s="391"/>
      <c r="GU54" s="391"/>
      <c r="GV54" s="391"/>
      <c r="GW54" s="391"/>
      <c r="GX54" s="391"/>
      <c r="GY54" s="391"/>
      <c r="GZ54" s="391"/>
      <c r="HA54" s="391"/>
      <c r="HB54" s="391"/>
      <c r="HC54" s="391"/>
      <c r="HD54" s="391"/>
      <c r="HE54" s="391"/>
      <c r="HF54" s="391"/>
      <c r="HG54" s="391"/>
      <c r="HH54" s="391"/>
      <c r="HI54" s="391"/>
    </row>
    <row r="55" spans="1:217">
      <c r="A55" s="390"/>
      <c r="C55" s="390"/>
      <c r="D55" s="390"/>
      <c r="E55" s="390"/>
      <c r="DU55" s="391"/>
      <c r="DV55" s="391"/>
      <c r="DW55" s="391"/>
      <c r="DX55" s="391"/>
      <c r="DY55" s="391"/>
      <c r="DZ55" s="391"/>
      <c r="EA55" s="391"/>
      <c r="EB55" s="391"/>
      <c r="EC55" s="391"/>
      <c r="ED55" s="391"/>
      <c r="EE55" s="391"/>
      <c r="EF55" s="391"/>
      <c r="EG55" s="391"/>
      <c r="EH55" s="391"/>
      <c r="EI55" s="391"/>
      <c r="EJ55" s="391"/>
      <c r="EK55" s="391"/>
      <c r="EL55" s="391"/>
      <c r="EM55" s="391"/>
      <c r="EN55" s="391"/>
      <c r="EO55" s="391"/>
      <c r="EP55" s="391"/>
      <c r="EQ55" s="391"/>
      <c r="ER55" s="391"/>
      <c r="ES55" s="391"/>
      <c r="ET55" s="391"/>
      <c r="EU55" s="391"/>
      <c r="EV55" s="391"/>
      <c r="EW55" s="391"/>
      <c r="EX55" s="391"/>
      <c r="EY55" s="391"/>
      <c r="EZ55" s="391"/>
      <c r="FA55" s="391"/>
      <c r="FB55" s="391"/>
      <c r="FC55" s="391"/>
      <c r="FD55" s="391"/>
      <c r="FE55" s="391"/>
      <c r="FF55" s="391"/>
      <c r="FG55" s="391"/>
      <c r="FH55" s="391"/>
      <c r="FI55" s="391"/>
      <c r="FJ55" s="391"/>
      <c r="FK55" s="391"/>
      <c r="FL55" s="391"/>
      <c r="FM55" s="391"/>
      <c r="FN55" s="391"/>
      <c r="FO55" s="391"/>
      <c r="FP55" s="391"/>
      <c r="FQ55" s="391"/>
      <c r="FR55" s="391"/>
      <c r="FS55" s="391"/>
      <c r="FT55" s="391"/>
      <c r="FU55" s="391"/>
      <c r="FV55" s="391"/>
      <c r="FW55" s="391"/>
      <c r="FX55" s="391"/>
      <c r="FY55" s="391"/>
      <c r="FZ55" s="391"/>
      <c r="GA55" s="391"/>
      <c r="GB55" s="391"/>
      <c r="GC55" s="391"/>
      <c r="GD55" s="391"/>
      <c r="GE55" s="391"/>
      <c r="GF55" s="391"/>
      <c r="GG55" s="391"/>
      <c r="GH55" s="391"/>
      <c r="GI55" s="391"/>
      <c r="GJ55" s="391"/>
      <c r="GK55" s="391"/>
      <c r="GL55" s="391"/>
      <c r="GM55" s="391"/>
      <c r="GN55" s="391"/>
      <c r="GO55" s="391"/>
      <c r="GP55" s="391"/>
      <c r="GQ55" s="391"/>
      <c r="GR55" s="391"/>
      <c r="GS55" s="391"/>
      <c r="GT55" s="391"/>
      <c r="GU55" s="391"/>
      <c r="GV55" s="391"/>
      <c r="GW55" s="391"/>
      <c r="GX55" s="391"/>
      <c r="GY55" s="391"/>
      <c r="GZ55" s="391"/>
      <c r="HA55" s="391"/>
      <c r="HB55" s="391"/>
      <c r="HC55" s="391"/>
      <c r="HD55" s="391"/>
      <c r="HE55" s="391"/>
      <c r="HF55" s="391"/>
      <c r="HG55" s="391"/>
      <c r="HH55" s="391"/>
      <c r="HI55" s="391"/>
    </row>
  </sheetData>
  <mergeCells count="59">
    <mergeCell ref="A1:F1"/>
    <mergeCell ref="A2:F2"/>
    <mergeCell ref="A3:F3"/>
    <mergeCell ref="B4:F4"/>
    <mergeCell ref="B5:F5"/>
    <mergeCell ref="B6:F6"/>
    <mergeCell ref="B9:F9"/>
    <mergeCell ref="A10:C10"/>
    <mergeCell ref="D10:F10"/>
    <mergeCell ref="B11:F11"/>
    <mergeCell ref="A12:C12"/>
    <mergeCell ref="D12:F12"/>
    <mergeCell ref="B13:F13"/>
    <mergeCell ref="A14:C14"/>
    <mergeCell ref="D14:F14"/>
    <mergeCell ref="B15:F15"/>
    <mergeCell ref="A16:C16"/>
    <mergeCell ref="D16:F16"/>
    <mergeCell ref="B17:F17"/>
    <mergeCell ref="A18:C18"/>
    <mergeCell ref="D18:F18"/>
    <mergeCell ref="B19:F19"/>
    <mergeCell ref="A20:C20"/>
    <mergeCell ref="D20:F20"/>
    <mergeCell ref="B21:F21"/>
    <mergeCell ref="A22:C22"/>
    <mergeCell ref="D22:F22"/>
    <mergeCell ref="B23:F23"/>
    <mergeCell ref="A24:C24"/>
    <mergeCell ref="D24:F24"/>
    <mergeCell ref="B25:F25"/>
    <mergeCell ref="A26:C26"/>
    <mergeCell ref="D26:F26"/>
    <mergeCell ref="B27:F27"/>
    <mergeCell ref="A28:C28"/>
    <mergeCell ref="D28:F28"/>
    <mergeCell ref="B29:F29"/>
    <mergeCell ref="A30:C30"/>
    <mergeCell ref="D30:F30"/>
    <mergeCell ref="B31:F31"/>
    <mergeCell ref="A32:C32"/>
    <mergeCell ref="D32:F32"/>
    <mergeCell ref="B33:F33"/>
    <mergeCell ref="A34:C34"/>
    <mergeCell ref="D34:F34"/>
    <mergeCell ref="B35:F35"/>
    <mergeCell ref="A36:C36"/>
    <mergeCell ref="D36:F36"/>
    <mergeCell ref="B37:F37"/>
    <mergeCell ref="A38:C38"/>
    <mergeCell ref="D38:F38"/>
    <mergeCell ref="B39:F39"/>
    <mergeCell ref="A40:C40"/>
    <mergeCell ref="D40:F40"/>
    <mergeCell ref="A41:E41"/>
    <mergeCell ref="A42:F42"/>
    <mergeCell ref="A7:A8"/>
    <mergeCell ref="B7:C8"/>
    <mergeCell ref="D7:F8"/>
  </mergeCells>
  <printOptions horizontalCentered="1"/>
  <pageMargins left="0.751388888888889" right="0.751388888888889" top="1" bottom="1" header="0.511805555555555" footer="0.511805555555555"/>
  <pageSetup paperSize="9" scale="77" firstPageNumber="0" orientation="portrait" useFirstPageNumber="1" horizontalDpi="3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69"/>
  <sheetViews>
    <sheetView view="pageBreakPreview" zoomScale="80" zoomScalePageLayoutView="80" zoomScaleNormal="85" topLeftCell="A120" workbookViewId="0">
      <selection activeCell="H46" sqref="H46:H52"/>
    </sheetView>
  </sheetViews>
  <sheetFormatPr defaultColWidth="10.6222222222222" defaultRowHeight="15.75"/>
  <cols>
    <col min="1" max="1" width="8.5" style="57" customWidth="1"/>
    <col min="2" max="2" width="45" style="57" customWidth="1"/>
    <col min="3" max="3" width="104.833333333333" style="57" customWidth="1"/>
    <col min="4" max="4" width="9.64444444444444" style="57" customWidth="1"/>
    <col min="5" max="5" width="14.5" style="58" customWidth="1"/>
    <col min="6" max="6" width="19" style="59" customWidth="1"/>
    <col min="7" max="7" width="18.3333333333333" style="59" customWidth="1"/>
    <col min="8" max="8" width="18.8333333333333" style="59" customWidth="1"/>
    <col min="9" max="10" width="10.6444444444444" style="57"/>
    <col min="11" max="11" width="12.6666666666667" style="57" customWidth="1"/>
    <col min="12" max="1025" width="10.6444444444444" style="57"/>
  </cols>
  <sheetData>
    <row r="1" ht="88" customHeight="1" spans="1:8">
      <c r="A1" s="228" t="s">
        <v>0</v>
      </c>
      <c r="B1" s="228"/>
      <c r="C1" s="228"/>
      <c r="D1" s="228"/>
      <c r="E1" s="228"/>
      <c r="F1" s="228"/>
      <c r="G1" s="228"/>
      <c r="H1" s="228"/>
    </row>
    <row r="2" ht="34" customHeight="1" spans="1:8">
      <c r="A2" s="230" t="s">
        <v>1</v>
      </c>
      <c r="B2" s="230"/>
      <c r="C2" s="230"/>
      <c r="D2" s="230"/>
      <c r="E2" s="230"/>
      <c r="F2" s="230"/>
      <c r="G2" s="230"/>
      <c r="H2" s="230"/>
    </row>
    <row r="3" ht="34" customHeight="1" spans="1:8">
      <c r="A3" s="232" t="s">
        <v>45</v>
      </c>
      <c r="B3" s="232"/>
      <c r="C3" s="232"/>
      <c r="D3" s="232"/>
      <c r="E3" s="232"/>
      <c r="F3" s="232"/>
      <c r="G3" s="232"/>
      <c r="H3" s="232"/>
    </row>
    <row r="4" ht="41.25" customHeight="1" spans="1:8">
      <c r="A4" s="63" t="s">
        <v>3</v>
      </c>
      <c r="B4" s="63"/>
      <c r="C4" s="64" t="s">
        <v>4</v>
      </c>
      <c r="D4" s="64"/>
      <c r="E4" s="64"/>
      <c r="F4" s="64"/>
      <c r="G4" s="64"/>
      <c r="H4" s="64"/>
    </row>
    <row r="5" ht="29.25" customHeight="1" spans="1:8">
      <c r="A5" s="63" t="s">
        <v>5</v>
      </c>
      <c r="B5" s="63"/>
      <c r="C5" s="64" t="s">
        <v>6</v>
      </c>
      <c r="D5" s="64"/>
      <c r="E5" s="64"/>
      <c r="F5" s="64"/>
      <c r="G5" s="64"/>
      <c r="H5" s="64"/>
    </row>
    <row r="6" ht="35.25" customHeight="1" spans="1:8">
      <c r="A6" s="63" t="s">
        <v>7</v>
      </c>
      <c r="B6" s="63"/>
      <c r="C6" s="64" t="str">
        <f>RESUMO!B6</f>
        <v>COMPOSIÇÕES DE CUSTOS  E COTAÇÃO + TABELA DA SINAPI-PE (DEZ/2020)-DESONERADA E EMLURB (JULHO/2018)  + (BDI 28,82%).</v>
      </c>
      <c r="D6" s="64"/>
      <c r="E6" s="64"/>
      <c r="F6" s="64"/>
      <c r="G6" s="64"/>
      <c r="H6" s="64"/>
    </row>
    <row r="7" s="54" customFormat="1" ht="23" customHeight="1" spans="1:8">
      <c r="A7" s="65" t="s">
        <v>9</v>
      </c>
      <c r="B7" s="65" t="s">
        <v>46</v>
      </c>
      <c r="C7" s="66" t="s">
        <v>10</v>
      </c>
      <c r="D7" s="65" t="s">
        <v>47</v>
      </c>
      <c r="E7" s="65" t="s">
        <v>48</v>
      </c>
      <c r="F7" s="66" t="s">
        <v>49</v>
      </c>
      <c r="G7" s="67" t="s">
        <v>50</v>
      </c>
      <c r="H7" s="68">
        <v>0.2882</v>
      </c>
    </row>
    <row r="8" s="54" customFormat="1" ht="17.85" customHeight="1" spans="1:8">
      <c r="A8" s="65"/>
      <c r="B8" s="65"/>
      <c r="C8" s="66"/>
      <c r="D8" s="65"/>
      <c r="E8" s="65"/>
      <c r="F8" s="66"/>
      <c r="G8" s="67"/>
      <c r="H8" s="66" t="s">
        <v>51</v>
      </c>
    </row>
    <row r="9" s="54" customFormat="1" ht="28" customHeight="1" spans="1:8">
      <c r="A9" s="65"/>
      <c r="B9" s="65"/>
      <c r="C9" s="66"/>
      <c r="D9" s="65"/>
      <c r="E9" s="65"/>
      <c r="F9" s="66"/>
      <c r="G9" s="67"/>
      <c r="H9" s="66"/>
    </row>
    <row r="10" s="55" customFormat="1" ht="32" customHeight="1" spans="1:8">
      <c r="A10" s="69" t="s">
        <v>12</v>
      </c>
      <c r="B10" s="70" t="s">
        <v>52</v>
      </c>
      <c r="C10" s="70"/>
      <c r="D10" s="70"/>
      <c r="E10" s="70"/>
      <c r="F10" s="70"/>
      <c r="G10" s="70"/>
      <c r="H10" s="71">
        <f>SUM(H11:H16)</f>
        <v>23058.19</v>
      </c>
    </row>
    <row r="11" s="54" customFormat="1" ht="36" customHeight="1" spans="1:11">
      <c r="A11" s="72" t="s">
        <v>53</v>
      </c>
      <c r="B11" s="73" t="s">
        <v>54</v>
      </c>
      <c r="C11" s="74" t="s">
        <v>55</v>
      </c>
      <c r="D11" s="73" t="s">
        <v>56</v>
      </c>
      <c r="E11" s="87">
        <f>'MEMÓRIA DE CÁLCULO'!E9</f>
        <v>6</v>
      </c>
      <c r="F11" s="76">
        <v>200</v>
      </c>
      <c r="G11" s="76">
        <f t="shared" ref="G11:G16" si="0">TRUNC(F11+F11*$H$7,2)</f>
        <v>257.64</v>
      </c>
      <c r="H11" s="76">
        <f t="shared" ref="H11:H16" si="1">TRUNC(E11*G11,2)</f>
        <v>1545.84</v>
      </c>
      <c r="K11" s="387">
        <v>0</v>
      </c>
    </row>
    <row r="12" s="54" customFormat="1" ht="19" customHeight="1" spans="1:8">
      <c r="A12" s="72" t="s">
        <v>57</v>
      </c>
      <c r="B12" s="73" t="s">
        <v>58</v>
      </c>
      <c r="C12" s="74" t="s">
        <v>59</v>
      </c>
      <c r="D12" s="77" t="s">
        <v>56</v>
      </c>
      <c r="E12" s="87">
        <f>'MEMÓRIA DE CÁLCULO'!E10</f>
        <v>200</v>
      </c>
      <c r="F12" s="76">
        <v>3.53</v>
      </c>
      <c r="G12" s="76">
        <f t="shared" si="0"/>
        <v>4.54</v>
      </c>
      <c r="H12" s="76">
        <f t="shared" si="1"/>
        <v>908</v>
      </c>
    </row>
    <row r="13" s="54" customFormat="1" ht="19" customHeight="1" spans="1:8">
      <c r="A13" s="72" t="s">
        <v>60</v>
      </c>
      <c r="B13" s="73" t="s">
        <v>61</v>
      </c>
      <c r="C13" s="74" t="s">
        <v>62</v>
      </c>
      <c r="D13" s="77" t="s">
        <v>56</v>
      </c>
      <c r="E13" s="87">
        <f>'MEMÓRIA DE CÁLCULO'!E16</f>
        <v>100</v>
      </c>
      <c r="F13" s="76">
        <v>5.65</v>
      </c>
      <c r="G13" s="76">
        <f t="shared" si="0"/>
        <v>7.27</v>
      </c>
      <c r="H13" s="76">
        <f t="shared" si="1"/>
        <v>727</v>
      </c>
    </row>
    <row r="14" s="54" customFormat="1" ht="35" customHeight="1" spans="1:8">
      <c r="A14" s="72" t="s">
        <v>63</v>
      </c>
      <c r="B14" s="83" t="s">
        <v>64</v>
      </c>
      <c r="C14" s="74" t="s">
        <v>65</v>
      </c>
      <c r="D14" s="73" t="s">
        <v>66</v>
      </c>
      <c r="E14" s="87">
        <f>'MEMÓRIA DE CÁLCULO'!E17</f>
        <v>45</v>
      </c>
      <c r="F14" s="76">
        <v>43.86</v>
      </c>
      <c r="G14" s="76">
        <f t="shared" si="0"/>
        <v>56.5</v>
      </c>
      <c r="H14" s="76">
        <f t="shared" si="1"/>
        <v>2542.5</v>
      </c>
    </row>
    <row r="15" s="54" customFormat="1" ht="33.75" customHeight="1" spans="1:8">
      <c r="A15" s="72" t="s">
        <v>67</v>
      </c>
      <c r="B15" s="73" t="s">
        <v>68</v>
      </c>
      <c r="C15" s="74" t="s">
        <v>69</v>
      </c>
      <c r="D15" s="77" t="s">
        <v>56</v>
      </c>
      <c r="E15" s="87">
        <f>'MEMÓRIA DE CÁLCULO'!E19</f>
        <v>132</v>
      </c>
      <c r="F15" s="79">
        <v>50.42</v>
      </c>
      <c r="G15" s="76">
        <f t="shared" si="0"/>
        <v>64.95</v>
      </c>
      <c r="H15" s="76">
        <f t="shared" si="1"/>
        <v>8573.4</v>
      </c>
    </row>
    <row r="16" s="54" customFormat="1" ht="31.5" spans="1:8">
      <c r="A16" s="72" t="s">
        <v>70</v>
      </c>
      <c r="B16" s="73" t="s">
        <v>71</v>
      </c>
      <c r="C16" s="74" t="s">
        <v>72</v>
      </c>
      <c r="D16" s="73" t="s">
        <v>73</v>
      </c>
      <c r="E16" s="87">
        <f>'MEMÓRIA DE CÁLCULO'!E20</f>
        <v>5</v>
      </c>
      <c r="F16" s="79">
        <v>1360.27</v>
      </c>
      <c r="G16" s="76">
        <f t="shared" si="0"/>
        <v>1752.29</v>
      </c>
      <c r="H16" s="76">
        <f t="shared" si="1"/>
        <v>8761.45</v>
      </c>
    </row>
    <row r="17" s="54" customFormat="1" ht="9.65" customHeight="1" spans="1:8">
      <c r="A17" s="80"/>
      <c r="B17" s="80"/>
      <c r="C17" s="80"/>
      <c r="D17" s="80"/>
      <c r="E17" s="81"/>
      <c r="F17" s="81"/>
      <c r="G17" s="81"/>
      <c r="H17" s="81"/>
    </row>
    <row r="18" s="54" customFormat="1" ht="29.25" customHeight="1" spans="1:8">
      <c r="A18" s="69" t="s">
        <v>14</v>
      </c>
      <c r="B18" s="70" t="s">
        <v>74</v>
      </c>
      <c r="C18" s="70"/>
      <c r="D18" s="70"/>
      <c r="E18" s="70"/>
      <c r="F18" s="70"/>
      <c r="G18" s="70"/>
      <c r="H18" s="71">
        <f>SUM(H19:H31)</f>
        <v>23608.13</v>
      </c>
    </row>
    <row r="19" s="54" customFormat="1" ht="26" customHeight="1" spans="1:8">
      <c r="A19" s="82" t="s">
        <v>75</v>
      </c>
      <c r="B19" s="83" t="s">
        <v>76</v>
      </c>
      <c r="C19" s="84" t="s">
        <v>77</v>
      </c>
      <c r="D19" s="77" t="s">
        <v>56</v>
      </c>
      <c r="E19" s="87">
        <f>'MEMÓRIA DE CÁLCULO'!E23</f>
        <v>272.8</v>
      </c>
      <c r="F19" s="76">
        <v>10.56</v>
      </c>
      <c r="G19" s="76">
        <f t="shared" ref="G19:G31" si="2">TRUNC(F19+F19*$H$7,2)</f>
        <v>13.6</v>
      </c>
      <c r="H19" s="76">
        <f t="shared" ref="H19:H31" si="3">TRUNC(E19*G19,2)</f>
        <v>3710.08</v>
      </c>
    </row>
    <row r="20" s="54" customFormat="1" ht="24" customHeight="1" spans="1:8">
      <c r="A20" s="82" t="s">
        <v>78</v>
      </c>
      <c r="B20" s="83" t="s">
        <v>79</v>
      </c>
      <c r="C20" s="84" t="s">
        <v>80</v>
      </c>
      <c r="D20" s="77" t="s">
        <v>56</v>
      </c>
      <c r="E20" s="87">
        <f>'MEMÓRIA DE CÁLCULO'!E25</f>
        <v>172.8</v>
      </c>
      <c r="F20" s="76">
        <v>4.23</v>
      </c>
      <c r="G20" s="76">
        <f t="shared" si="2"/>
        <v>5.44</v>
      </c>
      <c r="H20" s="76">
        <f t="shared" si="3"/>
        <v>940.03</v>
      </c>
    </row>
    <row r="21" s="54" customFormat="1" ht="23" customHeight="1" spans="1:8">
      <c r="A21" s="82" t="s">
        <v>81</v>
      </c>
      <c r="B21" s="83" t="s">
        <v>82</v>
      </c>
      <c r="C21" s="84" t="s">
        <v>83</v>
      </c>
      <c r="D21" s="77" t="s">
        <v>56</v>
      </c>
      <c r="E21" s="87">
        <f>'MEMÓRIA DE CÁLCULO'!E26</f>
        <v>39.57</v>
      </c>
      <c r="F21" s="76">
        <v>11.97</v>
      </c>
      <c r="G21" s="76">
        <f t="shared" si="2"/>
        <v>15.41</v>
      </c>
      <c r="H21" s="76">
        <f t="shared" si="3"/>
        <v>609.77</v>
      </c>
    </row>
    <row r="22" s="54" customFormat="1" ht="27" customHeight="1" spans="1:8">
      <c r="A22" s="82" t="s">
        <v>84</v>
      </c>
      <c r="B22" s="83" t="s">
        <v>85</v>
      </c>
      <c r="C22" s="84" t="s">
        <v>86</v>
      </c>
      <c r="D22" s="77" t="s">
        <v>56</v>
      </c>
      <c r="E22" s="85">
        <f>'MEMÓRIA DE CÁLCULO'!E29</f>
        <v>391.5</v>
      </c>
      <c r="F22" s="76">
        <v>9.52</v>
      </c>
      <c r="G22" s="76">
        <f t="shared" si="2"/>
        <v>12.26</v>
      </c>
      <c r="H22" s="76">
        <f t="shared" si="3"/>
        <v>4799.79</v>
      </c>
    </row>
    <row r="23" s="54" customFormat="1" ht="35" customHeight="1" spans="1:8">
      <c r="A23" s="82" t="s">
        <v>87</v>
      </c>
      <c r="B23" s="83" t="s">
        <v>88</v>
      </c>
      <c r="C23" s="84" t="s">
        <v>89</v>
      </c>
      <c r="D23" s="77" t="s">
        <v>56</v>
      </c>
      <c r="E23" s="85">
        <f>'MEMÓRIA DE CÁLCULO'!E30</f>
        <v>39</v>
      </c>
      <c r="F23" s="76">
        <v>20.64</v>
      </c>
      <c r="G23" s="76">
        <f t="shared" si="2"/>
        <v>26.58</v>
      </c>
      <c r="H23" s="76">
        <f t="shared" si="3"/>
        <v>1036.62</v>
      </c>
    </row>
    <row r="24" s="54" customFormat="1" ht="31.5" spans="1:8">
      <c r="A24" s="82" t="s">
        <v>90</v>
      </c>
      <c r="B24" s="83" t="s">
        <v>91</v>
      </c>
      <c r="C24" s="86" t="s">
        <v>92</v>
      </c>
      <c r="D24" s="77" t="s">
        <v>56</v>
      </c>
      <c r="E24" s="87">
        <f>'MEMÓRIA DE CÁLCULO'!E31</f>
        <v>52.5</v>
      </c>
      <c r="F24" s="76">
        <v>11.11</v>
      </c>
      <c r="G24" s="76">
        <f t="shared" si="2"/>
        <v>14.31</v>
      </c>
      <c r="H24" s="76">
        <f t="shared" si="3"/>
        <v>751.27</v>
      </c>
    </row>
    <row r="25" s="54" customFormat="1" ht="21" customHeight="1" spans="1:8">
      <c r="A25" s="82" t="s">
        <v>93</v>
      </c>
      <c r="B25" s="83" t="s">
        <v>94</v>
      </c>
      <c r="C25" s="86" t="s">
        <v>95</v>
      </c>
      <c r="D25" s="77" t="s">
        <v>56</v>
      </c>
      <c r="E25" s="87">
        <f>'MEMÓRIA DE CÁLCULO'!E32</f>
        <v>55</v>
      </c>
      <c r="F25" s="76">
        <v>22.72</v>
      </c>
      <c r="G25" s="76">
        <f t="shared" si="2"/>
        <v>29.26</v>
      </c>
      <c r="H25" s="76">
        <f t="shared" si="3"/>
        <v>1609.3</v>
      </c>
    </row>
    <row r="26" s="54" customFormat="1" ht="21" customHeight="1" spans="1:8">
      <c r="A26" s="82" t="s">
        <v>96</v>
      </c>
      <c r="B26" s="83" t="s">
        <v>97</v>
      </c>
      <c r="C26" s="86" t="s">
        <v>98</v>
      </c>
      <c r="D26" s="77" t="s">
        <v>56</v>
      </c>
      <c r="E26" s="87">
        <f>'MEMÓRIA DE CÁLCULO'!E33</f>
        <v>668.01</v>
      </c>
      <c r="F26" s="76">
        <v>8.47</v>
      </c>
      <c r="G26" s="76">
        <f t="shared" si="2"/>
        <v>10.91</v>
      </c>
      <c r="H26" s="76">
        <f t="shared" si="3"/>
        <v>7287.98</v>
      </c>
    </row>
    <row r="27" s="54" customFormat="1" ht="21" customHeight="1" spans="1:8">
      <c r="A27" s="82" t="s">
        <v>99</v>
      </c>
      <c r="B27" s="83" t="s">
        <v>100</v>
      </c>
      <c r="C27" s="86" t="s">
        <v>101</v>
      </c>
      <c r="D27" s="77" t="s">
        <v>66</v>
      </c>
      <c r="E27" s="87">
        <f>'MEMÓRIA DE CÁLCULO'!E49</f>
        <v>1.62</v>
      </c>
      <c r="F27" s="76">
        <v>285.66</v>
      </c>
      <c r="G27" s="76">
        <f t="shared" si="2"/>
        <v>367.98</v>
      </c>
      <c r="H27" s="76">
        <f t="shared" si="3"/>
        <v>596.12</v>
      </c>
    </row>
    <row r="28" s="54" customFormat="1" ht="21" customHeight="1" spans="1:8">
      <c r="A28" s="82" t="s">
        <v>102</v>
      </c>
      <c r="B28" s="83" t="s">
        <v>103</v>
      </c>
      <c r="C28" s="86" t="s">
        <v>104</v>
      </c>
      <c r="D28" s="77" t="s">
        <v>105</v>
      </c>
      <c r="E28" s="85">
        <f>'MEMÓRIA DE CÁLCULO'!E50</f>
        <v>5</v>
      </c>
      <c r="F28" s="76">
        <f>'Composições de Custo'!G12</f>
        <v>36.22</v>
      </c>
      <c r="G28" s="76">
        <f t="shared" si="2"/>
        <v>46.65</v>
      </c>
      <c r="H28" s="76">
        <f t="shared" si="3"/>
        <v>233.25</v>
      </c>
    </row>
    <row r="29" s="54" customFormat="1" ht="38" customHeight="1" spans="1:8">
      <c r="A29" s="82" t="s">
        <v>106</v>
      </c>
      <c r="B29" s="83" t="s">
        <v>107</v>
      </c>
      <c r="C29" s="86" t="s">
        <v>108</v>
      </c>
      <c r="D29" s="77" t="s">
        <v>66</v>
      </c>
      <c r="E29" s="85">
        <f>'MEMÓRIA DE CÁLCULO'!E51</f>
        <v>1.5</v>
      </c>
      <c r="F29" s="76">
        <v>31.06</v>
      </c>
      <c r="G29" s="76">
        <f t="shared" si="2"/>
        <v>40.01</v>
      </c>
      <c r="H29" s="76">
        <f t="shared" si="3"/>
        <v>60.01</v>
      </c>
    </row>
    <row r="30" s="54" customFormat="1" ht="35" customHeight="1" spans="1:8">
      <c r="A30" s="82" t="s">
        <v>109</v>
      </c>
      <c r="B30" s="83" t="s">
        <v>110</v>
      </c>
      <c r="C30" s="88" t="s">
        <v>111</v>
      </c>
      <c r="D30" s="77" t="s">
        <v>66</v>
      </c>
      <c r="E30" s="85">
        <f>'MEMÓRIA DE CÁLCULO'!E52</f>
        <v>87.54</v>
      </c>
      <c r="F30" s="76">
        <v>12.36</v>
      </c>
      <c r="G30" s="76">
        <f t="shared" si="2"/>
        <v>15.92</v>
      </c>
      <c r="H30" s="76">
        <f t="shared" si="3"/>
        <v>1393.63</v>
      </c>
    </row>
    <row r="31" s="54" customFormat="1" ht="44" customHeight="1" spans="1:8">
      <c r="A31" s="82" t="s">
        <v>112</v>
      </c>
      <c r="B31" s="83" t="s">
        <v>113</v>
      </c>
      <c r="C31" s="86" t="s">
        <v>114</v>
      </c>
      <c r="D31" s="77" t="s">
        <v>73</v>
      </c>
      <c r="E31" s="85">
        <f>'MEMÓRIA DE CÁLCULO'!E63</f>
        <v>0.5</v>
      </c>
      <c r="F31" s="76">
        <f>'Composição Caminhão Limpa Fossa'!E63</f>
        <v>900.93</v>
      </c>
      <c r="G31" s="76">
        <f t="shared" si="2"/>
        <v>1160.57</v>
      </c>
      <c r="H31" s="76">
        <f t="shared" si="3"/>
        <v>580.28</v>
      </c>
    </row>
    <row r="32" s="54" customFormat="1" ht="9.65" customHeight="1" spans="1:8">
      <c r="A32" s="89"/>
      <c r="B32" s="90"/>
      <c r="C32" s="91"/>
      <c r="D32" s="92"/>
      <c r="E32" s="85"/>
      <c r="F32" s="93"/>
      <c r="G32" s="94"/>
      <c r="H32" s="93"/>
    </row>
    <row r="33" s="54" customFormat="1" ht="26.25" customHeight="1" spans="1:8">
      <c r="A33" s="69" t="s">
        <v>16</v>
      </c>
      <c r="B33" s="70" t="s">
        <v>115</v>
      </c>
      <c r="C33" s="70"/>
      <c r="D33" s="70"/>
      <c r="E33" s="70"/>
      <c r="F33" s="70"/>
      <c r="G33" s="70"/>
      <c r="H33" s="71">
        <f>SUM(H34:H43)</f>
        <v>119162.03</v>
      </c>
    </row>
    <row r="34" s="54" customFormat="1" ht="25" customHeight="1" spans="1:8">
      <c r="A34" s="92" t="s">
        <v>116</v>
      </c>
      <c r="B34" s="83" t="s">
        <v>117</v>
      </c>
      <c r="C34" s="86" t="s">
        <v>118</v>
      </c>
      <c r="D34" s="77" t="s">
        <v>56</v>
      </c>
      <c r="E34" s="85">
        <f>'MEMÓRIA DE CÁLCULO'!E66</f>
        <v>825.49</v>
      </c>
      <c r="F34" s="76">
        <v>8.32</v>
      </c>
      <c r="G34" s="76">
        <f t="shared" ref="G34:G43" si="4">TRUNC(F34+F34*$H$7,2)</f>
        <v>10.71</v>
      </c>
      <c r="H34" s="76">
        <f t="shared" ref="H34:H43" si="5">TRUNC(E34*G34,2)</f>
        <v>8840.99</v>
      </c>
    </row>
    <row r="35" s="54" customFormat="1" ht="35" customHeight="1" spans="1:8">
      <c r="A35" s="92" t="s">
        <v>119</v>
      </c>
      <c r="B35" s="83" t="s">
        <v>120</v>
      </c>
      <c r="C35" s="86" t="s">
        <v>121</v>
      </c>
      <c r="D35" s="77" t="s">
        <v>56</v>
      </c>
      <c r="E35" s="85">
        <f>'MEMÓRIA DE CÁLCULO'!E85</f>
        <v>50</v>
      </c>
      <c r="F35" s="76">
        <v>18.83</v>
      </c>
      <c r="G35" s="76">
        <f t="shared" si="4"/>
        <v>24.25</v>
      </c>
      <c r="H35" s="76">
        <f t="shared" si="5"/>
        <v>1212.5</v>
      </c>
    </row>
    <row r="36" s="54" customFormat="1" ht="33" customHeight="1" spans="1:8">
      <c r="A36" s="92" t="s">
        <v>122</v>
      </c>
      <c r="B36" s="83" t="s">
        <v>123</v>
      </c>
      <c r="C36" s="86" t="s">
        <v>124</v>
      </c>
      <c r="D36" s="77" t="s">
        <v>56</v>
      </c>
      <c r="E36" s="85">
        <f>'MEMÓRIA DE CÁLCULO'!E86</f>
        <v>825.49</v>
      </c>
      <c r="F36" s="76">
        <v>32.94</v>
      </c>
      <c r="G36" s="76">
        <f t="shared" si="4"/>
        <v>42.43</v>
      </c>
      <c r="H36" s="76">
        <f t="shared" si="5"/>
        <v>35025.54</v>
      </c>
    </row>
    <row r="37" s="54" customFormat="1" ht="63" spans="1:8">
      <c r="A37" s="92" t="s">
        <v>125</v>
      </c>
      <c r="B37" s="83" t="s">
        <v>126</v>
      </c>
      <c r="C37" s="86" t="s">
        <v>127</v>
      </c>
      <c r="D37" s="77" t="s">
        <v>56</v>
      </c>
      <c r="E37" s="85">
        <f>'MEMÓRIA DE CÁLCULO'!E105</f>
        <v>825.49</v>
      </c>
      <c r="F37" s="76">
        <v>37.15</v>
      </c>
      <c r="G37" s="76">
        <f t="shared" si="4"/>
        <v>47.85</v>
      </c>
      <c r="H37" s="76">
        <f t="shared" si="5"/>
        <v>39499.69</v>
      </c>
    </row>
    <row r="38" s="54" customFormat="1" ht="47.25" spans="1:8">
      <c r="A38" s="92" t="s">
        <v>128</v>
      </c>
      <c r="B38" s="83" t="s">
        <v>129</v>
      </c>
      <c r="C38" s="86" t="s">
        <v>130</v>
      </c>
      <c r="D38" s="77" t="s">
        <v>56</v>
      </c>
      <c r="E38" s="85">
        <f>'MEMÓRIA DE CÁLCULO'!E124</f>
        <v>405</v>
      </c>
      <c r="F38" s="79">
        <v>38.09</v>
      </c>
      <c r="G38" s="76">
        <f t="shared" si="4"/>
        <v>49.06</v>
      </c>
      <c r="H38" s="76">
        <f t="shared" si="5"/>
        <v>19869.3</v>
      </c>
    </row>
    <row r="39" s="54" customFormat="1" ht="47.25" spans="1:8">
      <c r="A39" s="92" t="s">
        <v>131</v>
      </c>
      <c r="B39" s="83" t="s">
        <v>132</v>
      </c>
      <c r="C39" s="97" t="s">
        <v>133</v>
      </c>
      <c r="D39" s="77" t="s">
        <v>66</v>
      </c>
      <c r="E39" s="85">
        <f>'MEMÓRIA DE CÁLCULO'!E139</f>
        <v>1.19</v>
      </c>
      <c r="F39" s="79">
        <f>'Composições de Custo'!G43</f>
        <v>3579.73</v>
      </c>
      <c r="G39" s="76">
        <f t="shared" si="4"/>
        <v>4611.4</v>
      </c>
      <c r="H39" s="76">
        <f t="shared" si="5"/>
        <v>5487.56</v>
      </c>
    </row>
    <row r="40" s="54" customFormat="1" ht="31.5" spans="1:8">
      <c r="A40" s="92" t="s">
        <v>134</v>
      </c>
      <c r="B40" s="83" t="s">
        <v>88</v>
      </c>
      <c r="C40" s="84" t="s">
        <v>89</v>
      </c>
      <c r="D40" s="77" t="s">
        <v>56</v>
      </c>
      <c r="E40" s="85">
        <f>'MEMÓRIA DE CÁLCULO'!E150</f>
        <v>0.58</v>
      </c>
      <c r="F40" s="79">
        <v>20.64</v>
      </c>
      <c r="G40" s="76">
        <f t="shared" si="4"/>
        <v>26.58</v>
      </c>
      <c r="H40" s="76">
        <f t="shared" si="5"/>
        <v>15.41</v>
      </c>
    </row>
    <row r="41" s="54" customFormat="1" ht="31.5" spans="1:8">
      <c r="A41" s="92" t="s">
        <v>135</v>
      </c>
      <c r="B41" s="83" t="s">
        <v>107</v>
      </c>
      <c r="C41" s="86" t="s">
        <v>136</v>
      </c>
      <c r="D41" s="77" t="s">
        <v>66</v>
      </c>
      <c r="E41" s="85">
        <f>'MEMÓRIA DE CÁLCULO'!E151</f>
        <v>6.33</v>
      </c>
      <c r="F41" s="79">
        <v>31.06</v>
      </c>
      <c r="G41" s="76">
        <f t="shared" si="4"/>
        <v>40.01</v>
      </c>
      <c r="H41" s="76">
        <f t="shared" si="5"/>
        <v>253.26</v>
      </c>
    </row>
    <row r="42" s="54" customFormat="1" ht="47.25" spans="1:8">
      <c r="A42" s="92" t="s">
        <v>137</v>
      </c>
      <c r="B42" s="83" t="s">
        <v>132</v>
      </c>
      <c r="C42" s="97" t="s">
        <v>138</v>
      </c>
      <c r="D42" s="77" t="s">
        <v>66</v>
      </c>
      <c r="E42" s="85">
        <f>'MEMÓRIA DE CÁLCULO'!E152</f>
        <v>1.89</v>
      </c>
      <c r="F42" s="79">
        <f>'Composições de Custo'!G43</f>
        <v>3579.73</v>
      </c>
      <c r="G42" s="76">
        <f t="shared" si="4"/>
        <v>4611.4</v>
      </c>
      <c r="H42" s="76">
        <f t="shared" si="5"/>
        <v>8715.54</v>
      </c>
    </row>
    <row r="43" s="54" customFormat="1" ht="31.5" spans="1:8">
      <c r="A43" s="92" t="s">
        <v>139</v>
      </c>
      <c r="B43" s="83" t="s">
        <v>140</v>
      </c>
      <c r="C43" s="74" t="s">
        <v>141</v>
      </c>
      <c r="D43" s="77" t="s">
        <v>66</v>
      </c>
      <c r="E43" s="85">
        <f>'MEMÓRIA DE CÁLCULO'!E154</f>
        <v>4.44</v>
      </c>
      <c r="F43" s="79">
        <v>42.36</v>
      </c>
      <c r="G43" s="76">
        <f t="shared" si="4"/>
        <v>54.56</v>
      </c>
      <c r="H43" s="76">
        <f t="shared" si="5"/>
        <v>242.24</v>
      </c>
    </row>
    <row r="44" s="54" customFormat="1" ht="9.65" customHeight="1" spans="1:8">
      <c r="A44" s="89"/>
      <c r="B44" s="90"/>
      <c r="C44" s="91"/>
      <c r="D44" s="92"/>
      <c r="E44" s="85"/>
      <c r="F44" s="93"/>
      <c r="G44" s="94"/>
      <c r="H44" s="93"/>
    </row>
    <row r="45" s="54" customFormat="1" ht="33" customHeight="1" spans="1:8">
      <c r="A45" s="69" t="s">
        <v>18</v>
      </c>
      <c r="B45" s="70" t="s">
        <v>142</v>
      </c>
      <c r="C45" s="70"/>
      <c r="D45" s="70"/>
      <c r="E45" s="70"/>
      <c r="F45" s="70"/>
      <c r="G45" s="70"/>
      <c r="H45" s="71">
        <f>SUM(H46:H52)</f>
        <v>11558.47</v>
      </c>
    </row>
    <row r="46" s="54" customFormat="1" ht="32" customHeight="1" spans="1:8">
      <c r="A46" s="82" t="s">
        <v>143</v>
      </c>
      <c r="B46" s="83" t="s">
        <v>107</v>
      </c>
      <c r="C46" s="86" t="s">
        <v>136</v>
      </c>
      <c r="D46" s="77" t="s">
        <v>66</v>
      </c>
      <c r="E46" s="85">
        <f>'MEMÓRIA DE CÁLCULO'!E157</f>
        <v>4</v>
      </c>
      <c r="F46" s="79">
        <v>31.06</v>
      </c>
      <c r="G46" s="79">
        <f t="shared" ref="G46:G52" si="6">TRUNC(F46+F46*$H$7,2)</f>
        <v>40.01</v>
      </c>
      <c r="H46" s="333">
        <v>160.04</v>
      </c>
    </row>
    <row r="47" s="54" customFormat="1" ht="36" customHeight="1" spans="1:8">
      <c r="A47" s="82" t="s">
        <v>144</v>
      </c>
      <c r="B47" s="83" t="s">
        <v>145</v>
      </c>
      <c r="C47" s="97" t="s">
        <v>146</v>
      </c>
      <c r="D47" s="77" t="s">
        <v>66</v>
      </c>
      <c r="E47" s="85">
        <f>'MEMÓRIA DE CÁLCULO'!E158</f>
        <v>0.4</v>
      </c>
      <c r="F47" s="79">
        <v>417.36</v>
      </c>
      <c r="G47" s="79">
        <f t="shared" si="6"/>
        <v>537.64</v>
      </c>
      <c r="H47" s="386">
        <v>215.05</v>
      </c>
    </row>
    <row r="48" s="54" customFormat="1" ht="36" customHeight="1" spans="1:8">
      <c r="A48" s="82" t="s">
        <v>147</v>
      </c>
      <c r="B48" s="83" t="s">
        <v>148</v>
      </c>
      <c r="C48" s="97" t="s">
        <v>149</v>
      </c>
      <c r="D48" s="77" t="s">
        <v>66</v>
      </c>
      <c r="E48" s="85">
        <f>'MEMÓRIA DE CÁLCULO'!E159</f>
        <v>1.2</v>
      </c>
      <c r="F48" s="79">
        <v>1658.99</v>
      </c>
      <c r="G48" s="79">
        <f t="shared" si="6"/>
        <v>2137.11</v>
      </c>
      <c r="H48" s="386">
        <v>2564.53</v>
      </c>
    </row>
    <row r="49" s="54" customFormat="1" ht="36" customHeight="1" spans="1:8">
      <c r="A49" s="82" t="s">
        <v>150</v>
      </c>
      <c r="B49" s="83" t="s">
        <v>151</v>
      </c>
      <c r="C49" s="97" t="s">
        <v>152</v>
      </c>
      <c r="D49" s="77" t="s">
        <v>66</v>
      </c>
      <c r="E49" s="85">
        <f>'MEMÓRIA DE CÁLCULO'!E160</f>
        <v>1.8</v>
      </c>
      <c r="F49" s="79">
        <v>2859.32</v>
      </c>
      <c r="G49" s="79">
        <f t="shared" si="6"/>
        <v>3683.37</v>
      </c>
      <c r="H49" s="386">
        <v>6630.06</v>
      </c>
    </row>
    <row r="50" s="54" customFormat="1" ht="36" customHeight="1" spans="1:8">
      <c r="A50" s="98" t="s">
        <v>153</v>
      </c>
      <c r="B50" s="83" t="s">
        <v>154</v>
      </c>
      <c r="C50" s="97" t="s">
        <v>155</v>
      </c>
      <c r="D50" s="77" t="s">
        <v>66</v>
      </c>
      <c r="E50" s="85">
        <f>'MEMÓRIA DE CÁLCULO'!E161</f>
        <v>0.4</v>
      </c>
      <c r="F50" s="79">
        <v>2085.46</v>
      </c>
      <c r="G50" s="79">
        <f t="shared" si="6"/>
        <v>2686.48</v>
      </c>
      <c r="H50" s="386">
        <v>1074.59</v>
      </c>
    </row>
    <row r="51" s="54" customFormat="1" ht="36" customHeight="1" spans="1:8">
      <c r="A51" s="98" t="s">
        <v>156</v>
      </c>
      <c r="B51" s="83" t="s">
        <v>157</v>
      </c>
      <c r="C51" s="97" t="s">
        <v>158</v>
      </c>
      <c r="D51" s="77" t="s">
        <v>66</v>
      </c>
      <c r="E51" s="85">
        <f>'MEMÓRIA DE CÁLCULO'!E162</f>
        <v>0.24</v>
      </c>
      <c r="F51" s="79">
        <v>2462.89</v>
      </c>
      <c r="G51" s="79">
        <f t="shared" si="6"/>
        <v>3172.69</v>
      </c>
      <c r="H51" s="386">
        <v>761.44</v>
      </c>
    </row>
    <row r="52" s="54" customFormat="1" ht="36" customHeight="1" spans="1:8">
      <c r="A52" s="98" t="s">
        <v>159</v>
      </c>
      <c r="B52" s="83" t="s">
        <v>140</v>
      </c>
      <c r="C52" s="97" t="s">
        <v>160</v>
      </c>
      <c r="D52" s="77" t="s">
        <v>66</v>
      </c>
      <c r="E52" s="85">
        <f>'MEMÓRIA DE CÁLCULO'!E163</f>
        <v>2.8</v>
      </c>
      <c r="F52" s="79">
        <v>42.36</v>
      </c>
      <c r="G52" s="79">
        <f t="shared" si="6"/>
        <v>54.56</v>
      </c>
      <c r="H52" s="386">
        <v>152.76</v>
      </c>
    </row>
    <row r="53" s="54" customFormat="1" ht="9.65" customHeight="1" spans="1:8">
      <c r="A53" s="99"/>
      <c r="B53" s="100"/>
      <c r="C53" s="101"/>
      <c r="D53" s="100"/>
      <c r="E53" s="99"/>
      <c r="F53" s="99"/>
      <c r="G53" s="99"/>
      <c r="H53" s="99"/>
    </row>
    <row r="54" s="54" customFormat="1" ht="29.25" customHeight="1" spans="1:8">
      <c r="A54" s="69" t="s">
        <v>20</v>
      </c>
      <c r="B54" s="70" t="s">
        <v>161</v>
      </c>
      <c r="C54" s="70"/>
      <c r="D54" s="70"/>
      <c r="E54" s="70"/>
      <c r="F54" s="70"/>
      <c r="G54" s="70"/>
      <c r="H54" s="71">
        <f>SUM(H55:H57)</f>
        <v>68736.36</v>
      </c>
    </row>
    <row r="55" s="54" customFormat="1" ht="37" customHeight="1" spans="1:8">
      <c r="A55" s="82" t="s">
        <v>162</v>
      </c>
      <c r="B55" s="98" t="s">
        <v>163</v>
      </c>
      <c r="C55" s="97" t="s">
        <v>164</v>
      </c>
      <c r="D55" s="77" t="s">
        <v>56</v>
      </c>
      <c r="E55" s="102">
        <f>'MEMÓRIA DE CÁLCULO'!E166</f>
        <v>172.8</v>
      </c>
      <c r="F55" s="79">
        <v>148.76</v>
      </c>
      <c r="G55" s="79">
        <f>TRUNC(F55+F55*$H$7,2)</f>
        <v>191.63</v>
      </c>
      <c r="H55" s="79">
        <v>33113.66</v>
      </c>
    </row>
    <row r="56" s="54" customFormat="1" ht="22" customHeight="1" spans="1:8">
      <c r="A56" s="82" t="s">
        <v>165</v>
      </c>
      <c r="B56" s="98" t="s">
        <v>166</v>
      </c>
      <c r="C56" s="97" t="s">
        <v>167</v>
      </c>
      <c r="D56" s="77" t="s">
        <v>56</v>
      </c>
      <c r="E56" s="102">
        <f>'MEMÓRIA DE CÁLCULO'!E167</f>
        <v>307.58</v>
      </c>
      <c r="F56" s="79">
        <v>65.56</v>
      </c>
      <c r="G56" s="79">
        <f>TRUNC(F56+F56*$H$7,2)</f>
        <v>84.45</v>
      </c>
      <c r="H56" s="79">
        <f>TRUNC(E56*G56,2)</f>
        <v>25975.13</v>
      </c>
    </row>
    <row r="57" s="54" customFormat="1" ht="22" customHeight="1" spans="1:8">
      <c r="A57" s="82" t="s">
        <v>168</v>
      </c>
      <c r="B57" s="98" t="s">
        <v>166</v>
      </c>
      <c r="C57" s="97" t="s">
        <v>169</v>
      </c>
      <c r="D57" s="77" t="s">
        <v>56</v>
      </c>
      <c r="E57" s="102">
        <f>'MEMÓRIA DE CÁLCULO'!E168</f>
        <v>136.4</v>
      </c>
      <c r="F57" s="79">
        <v>54.91</v>
      </c>
      <c r="G57" s="79">
        <f>TRUNC(F57+F57*$H$7,2)</f>
        <v>70.73</v>
      </c>
      <c r="H57" s="79">
        <f>TRUNC(E57*G57,2)</f>
        <v>9647.57</v>
      </c>
    </row>
    <row r="58" s="54" customFormat="1" ht="9.65" customHeight="1" spans="1:8">
      <c r="A58" s="82"/>
      <c r="B58" s="103"/>
      <c r="C58" s="104"/>
      <c r="D58" s="89"/>
      <c r="E58" s="99"/>
      <c r="F58" s="99"/>
      <c r="G58" s="99"/>
      <c r="H58" s="99"/>
    </row>
    <row r="59" s="54" customFormat="1" ht="29" customHeight="1" spans="1:8">
      <c r="A59" s="69" t="s">
        <v>22</v>
      </c>
      <c r="B59" s="70" t="s">
        <v>170</v>
      </c>
      <c r="C59" s="70"/>
      <c r="D59" s="70"/>
      <c r="E59" s="70"/>
      <c r="F59" s="70"/>
      <c r="G59" s="70"/>
      <c r="H59" s="71">
        <f>SUM(H60:H63)</f>
        <v>25476.43</v>
      </c>
    </row>
    <row r="60" s="54" customFormat="1" ht="45" customHeight="1" spans="1:8">
      <c r="A60" s="82" t="s">
        <v>171</v>
      </c>
      <c r="B60" s="98" t="s">
        <v>172</v>
      </c>
      <c r="C60" s="97" t="s">
        <v>173</v>
      </c>
      <c r="D60" s="77" t="s">
        <v>56</v>
      </c>
      <c r="E60" s="102">
        <f>'MEMÓRIA DE CÁLCULO'!E172</f>
        <v>24.57</v>
      </c>
      <c r="F60" s="79">
        <v>504.44</v>
      </c>
      <c r="G60" s="79">
        <f>TRUNC(F60+F60*$H$7,2)</f>
        <v>649.81</v>
      </c>
      <c r="H60" s="76">
        <f>TRUNC(E60*G60,2)</f>
        <v>15965.83</v>
      </c>
    </row>
    <row r="61" s="54" customFormat="1" ht="54" customHeight="1" spans="1:8">
      <c r="A61" s="82" t="s">
        <v>174</v>
      </c>
      <c r="B61" s="98" t="s">
        <v>175</v>
      </c>
      <c r="C61" s="97" t="s">
        <v>176</v>
      </c>
      <c r="D61" s="77" t="s">
        <v>56</v>
      </c>
      <c r="E61" s="102">
        <f>'MEMÓRIA DE CÁLCULO'!E173</f>
        <v>24.57</v>
      </c>
      <c r="F61" s="79">
        <v>236.64</v>
      </c>
      <c r="G61" s="79">
        <f>TRUNC(F61+F61*$H$7,2)</f>
        <v>304.83</v>
      </c>
      <c r="H61" s="76">
        <v>7489.67</v>
      </c>
    </row>
    <row r="62" s="54" customFormat="1" ht="45" customHeight="1" spans="1:8">
      <c r="A62" s="82" t="s">
        <v>177</v>
      </c>
      <c r="B62" s="98" t="s">
        <v>178</v>
      </c>
      <c r="C62" s="97" t="s">
        <v>179</v>
      </c>
      <c r="D62" s="77" t="s">
        <v>56</v>
      </c>
      <c r="E62" s="102">
        <f>'MEMÓRIA DE CÁLCULO'!E174</f>
        <v>3.6</v>
      </c>
      <c r="F62" s="79">
        <v>251.52</v>
      </c>
      <c r="G62" s="79">
        <f>TRUNC(F62+F62*$H$7,2)</f>
        <v>324</v>
      </c>
      <c r="H62" s="76">
        <f>TRUNC(E62*G62,2)</f>
        <v>1166.4</v>
      </c>
    </row>
    <row r="63" s="54" customFormat="1" ht="45" customHeight="1" spans="1:8">
      <c r="A63" s="82" t="s">
        <v>180</v>
      </c>
      <c r="B63" s="98" t="s">
        <v>181</v>
      </c>
      <c r="C63" s="97" t="s">
        <v>182</v>
      </c>
      <c r="D63" s="77" t="s">
        <v>56</v>
      </c>
      <c r="E63" s="102">
        <f>'MEMÓRIA DE CÁLCULO'!E175</f>
        <v>3.6</v>
      </c>
      <c r="F63" s="79">
        <v>184.27</v>
      </c>
      <c r="G63" s="79">
        <f>TRUNC(F63+F63*$H$7,2)</f>
        <v>237.37</v>
      </c>
      <c r="H63" s="76">
        <f>TRUNC(E63*G63,2)</f>
        <v>854.53</v>
      </c>
    </row>
    <row r="64" s="54" customFormat="1" ht="9.65" customHeight="1" spans="1:8">
      <c r="A64" s="82"/>
      <c r="B64" s="103"/>
      <c r="C64" s="104"/>
      <c r="D64" s="89"/>
      <c r="E64" s="99"/>
      <c r="F64" s="99"/>
      <c r="G64" s="99"/>
      <c r="H64" s="99"/>
    </row>
    <row r="65" s="54" customFormat="1" ht="32" customHeight="1" spans="1:8">
      <c r="A65" s="69" t="s">
        <v>24</v>
      </c>
      <c r="B65" s="70" t="s">
        <v>183</v>
      </c>
      <c r="C65" s="70"/>
      <c r="D65" s="70"/>
      <c r="E65" s="70"/>
      <c r="F65" s="70"/>
      <c r="G65" s="70"/>
      <c r="H65" s="71">
        <f>SUM(H66:H69)</f>
        <v>42479.09</v>
      </c>
    </row>
    <row r="66" s="54" customFormat="1" ht="47.25" spans="1:8">
      <c r="A66" s="92" t="s">
        <v>184</v>
      </c>
      <c r="B66" s="83" t="s">
        <v>185</v>
      </c>
      <c r="C66" s="97" t="s">
        <v>186</v>
      </c>
      <c r="D66" s="77" t="s">
        <v>56</v>
      </c>
      <c r="E66" s="85">
        <f>'MEMÓRIA DE CÁLCULO'!E178</f>
        <v>1350.92</v>
      </c>
      <c r="F66" s="93">
        <v>15.19</v>
      </c>
      <c r="G66" s="79">
        <f>TRUNC(F66+F66*$H$7,2)</f>
        <v>19.56</v>
      </c>
      <c r="H66" s="94">
        <v>26423.99</v>
      </c>
    </row>
    <row r="67" s="54" customFormat="1" ht="47.25" spans="1:8">
      <c r="A67" s="92" t="s">
        <v>187</v>
      </c>
      <c r="B67" s="83" t="s">
        <v>188</v>
      </c>
      <c r="C67" s="97" t="s">
        <v>189</v>
      </c>
      <c r="D67" s="77" t="s">
        <v>56</v>
      </c>
      <c r="E67" s="85">
        <f>'MEMÓRIA DE CÁLCULO'!E196</f>
        <v>589.5</v>
      </c>
      <c r="F67" s="93">
        <v>17.38</v>
      </c>
      <c r="G67" s="94">
        <f>TRUNC(F67+F67*$H$7,2)</f>
        <v>22.38</v>
      </c>
      <c r="H67" s="94">
        <f>TRUNC(E67*G67,2)</f>
        <v>13193.01</v>
      </c>
    </row>
    <row r="68" s="54" customFormat="1" ht="47.25" spans="1:8">
      <c r="A68" s="92" t="s">
        <v>190</v>
      </c>
      <c r="B68" s="73" t="s">
        <v>191</v>
      </c>
      <c r="C68" s="97" t="s">
        <v>192</v>
      </c>
      <c r="D68" s="77" t="s">
        <v>56</v>
      </c>
      <c r="E68" s="85">
        <f>'MEMÓRIA DE CÁLCULO'!E202</f>
        <v>73.71</v>
      </c>
      <c r="F68" s="93">
        <v>17.98</v>
      </c>
      <c r="G68" s="94">
        <f>TRUNC(F68+F68*$H$7,2)</f>
        <v>23.16</v>
      </c>
      <c r="H68" s="94">
        <f>TRUNC(E68*G68,2)</f>
        <v>1707.12</v>
      </c>
    </row>
    <row r="69" s="54" customFormat="1" ht="31.5" spans="1:8">
      <c r="A69" s="92" t="s">
        <v>193</v>
      </c>
      <c r="B69" s="73" t="s">
        <v>194</v>
      </c>
      <c r="C69" s="97" t="s">
        <v>195</v>
      </c>
      <c r="D69" s="77" t="s">
        <v>56</v>
      </c>
      <c r="E69" s="85">
        <f>'MEMÓRIA DE CÁLCULO'!E203</f>
        <v>28.17</v>
      </c>
      <c r="F69" s="93">
        <v>31.83</v>
      </c>
      <c r="G69" s="94">
        <f>TRUNC(F69+F69*$H$7,2)</f>
        <v>41</v>
      </c>
      <c r="H69" s="94">
        <f>TRUNC(E69*G69,2)</f>
        <v>1154.97</v>
      </c>
    </row>
    <row r="70" s="54" customFormat="1" ht="9.65" customHeight="1" spans="1:8">
      <c r="A70" s="89"/>
      <c r="B70" s="107"/>
      <c r="C70" s="108"/>
      <c r="D70" s="89"/>
      <c r="E70" s="85"/>
      <c r="F70" s="93"/>
      <c r="G70" s="94"/>
      <c r="H70" s="93"/>
    </row>
    <row r="71" s="54" customFormat="1" ht="32" customHeight="1" spans="1:8">
      <c r="A71" s="69" t="s">
        <v>26</v>
      </c>
      <c r="B71" s="70" t="s">
        <v>196</v>
      </c>
      <c r="C71" s="70"/>
      <c r="D71" s="70"/>
      <c r="E71" s="70"/>
      <c r="F71" s="70"/>
      <c r="G71" s="70"/>
      <c r="H71" s="71">
        <f>SUM(H72:H75)</f>
        <v>68904.3</v>
      </c>
    </row>
    <row r="72" s="54" customFormat="1" ht="31.5" spans="1:8">
      <c r="A72" s="92" t="s">
        <v>197</v>
      </c>
      <c r="B72" s="83" t="s">
        <v>145</v>
      </c>
      <c r="C72" s="97" t="s">
        <v>146</v>
      </c>
      <c r="D72" s="77" t="s">
        <v>66</v>
      </c>
      <c r="E72" s="85">
        <f>'MEMÓRIA DE CÁLCULO'!E207</f>
        <v>45</v>
      </c>
      <c r="F72" s="93">
        <v>417.36</v>
      </c>
      <c r="G72" s="94">
        <f>TRUNC(F72+F72*$H$7,2)</f>
        <v>537.64</v>
      </c>
      <c r="H72" s="94">
        <f>TRUNC(E72*G72,2)</f>
        <v>24193.8</v>
      </c>
    </row>
    <row r="73" s="54" customFormat="1" ht="47.25" spans="1:8">
      <c r="A73" s="92" t="s">
        <v>198</v>
      </c>
      <c r="B73" s="83" t="s">
        <v>199</v>
      </c>
      <c r="C73" s="97" t="s">
        <v>200</v>
      </c>
      <c r="D73" s="77" t="s">
        <v>56</v>
      </c>
      <c r="E73" s="85">
        <f>'MEMÓRIA DE CÁLCULO'!E208</f>
        <v>450</v>
      </c>
      <c r="F73" s="93">
        <v>43.54</v>
      </c>
      <c r="G73" s="94">
        <f>TRUNC(F73+F73*$H$7,2)</f>
        <v>56.08</v>
      </c>
      <c r="H73" s="94">
        <f>TRUNC(E73*G73,2)</f>
        <v>25236</v>
      </c>
    </row>
    <row r="74" s="54" customFormat="1" ht="63" spans="1:8">
      <c r="A74" s="92" t="s">
        <v>201</v>
      </c>
      <c r="B74" s="83" t="s">
        <v>202</v>
      </c>
      <c r="C74" s="97" t="s">
        <v>203</v>
      </c>
      <c r="D74" s="77" t="s">
        <v>56</v>
      </c>
      <c r="E74" s="85">
        <f>'MEMÓRIA DE CÁLCULO'!E209</f>
        <v>450</v>
      </c>
      <c r="F74" s="93">
        <v>28.02</v>
      </c>
      <c r="G74" s="94">
        <f>TRUNC(F74+F74*$H$7,2)</f>
        <v>36.09</v>
      </c>
      <c r="H74" s="94">
        <f>TRUNC(E74*G74,2)</f>
        <v>16240.5</v>
      </c>
    </row>
    <row r="75" s="54" customFormat="1" ht="78.75" spans="1:8">
      <c r="A75" s="92" t="s">
        <v>204</v>
      </c>
      <c r="B75" s="83" t="s">
        <v>205</v>
      </c>
      <c r="C75" s="97" t="s">
        <v>206</v>
      </c>
      <c r="D75" s="77" t="s">
        <v>207</v>
      </c>
      <c r="E75" s="85">
        <f>'MEMÓRIA DE CÁLCULO'!E210</f>
        <v>200</v>
      </c>
      <c r="F75" s="93">
        <v>12.56</v>
      </c>
      <c r="G75" s="94">
        <f>TRUNC(F75+F75*$H$7,2)</f>
        <v>16.17</v>
      </c>
      <c r="H75" s="94">
        <f>TRUNC(E75*G75,2)</f>
        <v>3234</v>
      </c>
    </row>
    <row r="76" s="54" customFormat="1" ht="9.65" customHeight="1" spans="1:8">
      <c r="A76" s="89"/>
      <c r="B76" s="107"/>
      <c r="C76" s="108"/>
      <c r="D76" s="92"/>
      <c r="E76" s="85"/>
      <c r="F76" s="109"/>
      <c r="G76" s="94"/>
      <c r="H76" s="93"/>
    </row>
    <row r="77" s="54" customFormat="1" ht="36" customHeight="1" spans="1:8">
      <c r="A77" s="69" t="s">
        <v>28</v>
      </c>
      <c r="B77" s="70" t="s">
        <v>208</v>
      </c>
      <c r="C77" s="70"/>
      <c r="D77" s="70"/>
      <c r="E77" s="70"/>
      <c r="F77" s="70"/>
      <c r="G77" s="70"/>
      <c r="H77" s="71">
        <f>SUM(H78:H93)</f>
        <v>31899.28</v>
      </c>
    </row>
    <row r="78" s="54" customFormat="1" ht="31.5" spans="1:8">
      <c r="A78" s="92" t="s">
        <v>209</v>
      </c>
      <c r="B78" s="83" t="s">
        <v>210</v>
      </c>
      <c r="C78" s="97" t="s">
        <v>211</v>
      </c>
      <c r="D78" s="77" t="s">
        <v>212</v>
      </c>
      <c r="E78" s="110">
        <f>'MEMÓRIA DE CÁLCULO'!E213</f>
        <v>1</v>
      </c>
      <c r="F78" s="109">
        <v>464.46</v>
      </c>
      <c r="G78" s="94">
        <f t="shared" ref="G78:G93" si="7">TRUNC(F78+F78*$H$7,2)</f>
        <v>598.31</v>
      </c>
      <c r="H78" s="94">
        <f t="shared" ref="H78:H93" si="8">TRUNC(E78*G78,2)</f>
        <v>598.31</v>
      </c>
    </row>
    <row r="79" s="54" customFormat="1" ht="36" customHeight="1" spans="1:8">
      <c r="A79" s="92" t="s">
        <v>213</v>
      </c>
      <c r="B79" s="83" t="s">
        <v>214</v>
      </c>
      <c r="C79" s="97" t="s">
        <v>215</v>
      </c>
      <c r="D79" s="111" t="s">
        <v>212</v>
      </c>
      <c r="E79" s="110">
        <f>'MEMÓRIA DE CÁLCULO'!E214</f>
        <v>2</v>
      </c>
      <c r="F79" s="109">
        <v>23.64</v>
      </c>
      <c r="G79" s="94">
        <f t="shared" si="7"/>
        <v>30.45</v>
      </c>
      <c r="H79" s="94">
        <f t="shared" si="8"/>
        <v>60.9</v>
      </c>
    </row>
    <row r="80" s="54" customFormat="1" ht="31.5" spans="1:8">
      <c r="A80" s="92" t="s">
        <v>216</v>
      </c>
      <c r="B80" s="83" t="s">
        <v>217</v>
      </c>
      <c r="C80" s="97" t="s">
        <v>218</v>
      </c>
      <c r="D80" s="111" t="s">
        <v>219</v>
      </c>
      <c r="E80" s="110">
        <f>'MEMÓRIA DE CÁLCULO'!E215</f>
        <v>12</v>
      </c>
      <c r="F80" s="109">
        <v>48.3</v>
      </c>
      <c r="G80" s="94">
        <f t="shared" si="7"/>
        <v>62.22</v>
      </c>
      <c r="H80" s="94">
        <f t="shared" si="8"/>
        <v>746.64</v>
      </c>
    </row>
    <row r="81" s="54" customFormat="1" ht="63" spans="1:8">
      <c r="A81" s="92" t="s">
        <v>220</v>
      </c>
      <c r="B81" s="83" t="s">
        <v>221</v>
      </c>
      <c r="C81" s="97" t="s">
        <v>222</v>
      </c>
      <c r="D81" s="77" t="s">
        <v>219</v>
      </c>
      <c r="E81" s="110">
        <f>'MEMÓRIA DE CÁLCULO'!E216</f>
        <v>1</v>
      </c>
      <c r="F81" s="109">
        <v>257.29</v>
      </c>
      <c r="G81" s="94">
        <f t="shared" si="7"/>
        <v>331.44</v>
      </c>
      <c r="H81" s="94">
        <f t="shared" si="8"/>
        <v>331.44</v>
      </c>
    </row>
    <row r="82" s="54" customFormat="1" ht="31.5" spans="1:8">
      <c r="A82" s="92" t="s">
        <v>223</v>
      </c>
      <c r="B82" s="83" t="s">
        <v>224</v>
      </c>
      <c r="C82" s="97" t="s">
        <v>225</v>
      </c>
      <c r="D82" s="111" t="s">
        <v>212</v>
      </c>
      <c r="E82" s="110">
        <f>'MEMÓRIA DE CÁLCULO'!E217</f>
        <v>15</v>
      </c>
      <c r="F82" s="109">
        <v>22.45</v>
      </c>
      <c r="G82" s="94">
        <f t="shared" si="7"/>
        <v>28.92</v>
      </c>
      <c r="H82" s="94">
        <f t="shared" si="8"/>
        <v>433.8</v>
      </c>
    </row>
    <row r="83" s="54" customFormat="1" ht="47.25" spans="1:8">
      <c r="A83" s="92" t="s">
        <v>226</v>
      </c>
      <c r="B83" s="83" t="s">
        <v>227</v>
      </c>
      <c r="C83" s="97" t="s">
        <v>228</v>
      </c>
      <c r="D83" s="111" t="s">
        <v>212</v>
      </c>
      <c r="E83" s="110">
        <f>'MEMÓRIA DE CÁLCULO'!E218</f>
        <v>20</v>
      </c>
      <c r="F83" s="109">
        <v>15.52</v>
      </c>
      <c r="G83" s="94">
        <f t="shared" si="7"/>
        <v>19.99</v>
      </c>
      <c r="H83" s="94">
        <f t="shared" si="8"/>
        <v>399.8</v>
      </c>
    </row>
    <row r="84" s="54" customFormat="1" ht="47.25" spans="1:8">
      <c r="A84" s="92" t="s">
        <v>229</v>
      </c>
      <c r="B84" s="83" t="s">
        <v>230</v>
      </c>
      <c r="C84" s="97" t="s">
        <v>231</v>
      </c>
      <c r="D84" s="77" t="s">
        <v>207</v>
      </c>
      <c r="E84" s="110">
        <f>'MEMÓRIA DE CÁLCULO'!E219</f>
        <v>3000</v>
      </c>
      <c r="F84" s="109">
        <v>5.01</v>
      </c>
      <c r="G84" s="94">
        <f t="shared" si="7"/>
        <v>6.45</v>
      </c>
      <c r="H84" s="94">
        <f t="shared" si="8"/>
        <v>19350</v>
      </c>
    </row>
    <row r="85" s="54" customFormat="1" ht="47.25" spans="1:8">
      <c r="A85" s="92" t="s">
        <v>232</v>
      </c>
      <c r="B85" s="83" t="s">
        <v>233</v>
      </c>
      <c r="C85" s="97" t="s">
        <v>234</v>
      </c>
      <c r="D85" s="111" t="s">
        <v>207</v>
      </c>
      <c r="E85" s="110">
        <f>'MEMÓRIA DE CÁLCULO'!E220</f>
        <v>70</v>
      </c>
      <c r="F85" s="109">
        <v>5.45</v>
      </c>
      <c r="G85" s="94">
        <f t="shared" si="7"/>
        <v>7.02</v>
      </c>
      <c r="H85" s="94">
        <f t="shared" si="8"/>
        <v>491.4</v>
      </c>
    </row>
    <row r="86" s="54" customFormat="1" ht="47.25" spans="1:8">
      <c r="A86" s="92" t="s">
        <v>235</v>
      </c>
      <c r="B86" s="83" t="s">
        <v>236</v>
      </c>
      <c r="C86" s="97" t="s">
        <v>237</v>
      </c>
      <c r="D86" s="111" t="s">
        <v>207</v>
      </c>
      <c r="E86" s="110">
        <f>'MEMÓRIA DE CÁLCULO'!E221</f>
        <v>115</v>
      </c>
      <c r="F86" s="109">
        <v>9.88</v>
      </c>
      <c r="G86" s="94">
        <f t="shared" si="7"/>
        <v>12.72</v>
      </c>
      <c r="H86" s="94">
        <f t="shared" si="8"/>
        <v>1462.8</v>
      </c>
    </row>
    <row r="87" s="54" customFormat="1" ht="47.25" spans="1:8">
      <c r="A87" s="92" t="s">
        <v>238</v>
      </c>
      <c r="B87" s="83" t="s">
        <v>239</v>
      </c>
      <c r="C87" s="97" t="s">
        <v>240</v>
      </c>
      <c r="D87" s="111" t="s">
        <v>207</v>
      </c>
      <c r="E87" s="110">
        <f>'MEMÓRIA DE CÁLCULO'!E222</f>
        <v>90</v>
      </c>
      <c r="F87" s="109">
        <v>13.03</v>
      </c>
      <c r="G87" s="94">
        <f t="shared" si="7"/>
        <v>16.78</v>
      </c>
      <c r="H87" s="94">
        <f t="shared" si="8"/>
        <v>1510.2</v>
      </c>
    </row>
    <row r="88" s="54" customFormat="1" ht="31.5" spans="1:8">
      <c r="A88" s="92" t="s">
        <v>241</v>
      </c>
      <c r="B88" s="83" t="s">
        <v>242</v>
      </c>
      <c r="C88" s="97" t="s">
        <v>243</v>
      </c>
      <c r="D88" s="111" t="s">
        <v>212</v>
      </c>
      <c r="E88" s="110">
        <f>'MEMÓRIA DE CÁLCULO'!E223</f>
        <v>1</v>
      </c>
      <c r="F88" s="109">
        <v>121.62</v>
      </c>
      <c r="G88" s="94">
        <f t="shared" si="7"/>
        <v>156.67</v>
      </c>
      <c r="H88" s="94">
        <f t="shared" si="8"/>
        <v>156.67</v>
      </c>
    </row>
    <row r="89" s="54" customFormat="1" ht="47.25" spans="1:8">
      <c r="A89" s="92" t="s">
        <v>244</v>
      </c>
      <c r="B89" s="83" t="s">
        <v>245</v>
      </c>
      <c r="C89" s="97" t="s">
        <v>246</v>
      </c>
      <c r="D89" s="111" t="s">
        <v>212</v>
      </c>
      <c r="E89" s="110">
        <f>'MEMÓRIA DE CÁLCULO'!E224</f>
        <v>20</v>
      </c>
      <c r="F89" s="109">
        <v>224.33</v>
      </c>
      <c r="G89" s="94">
        <f t="shared" si="7"/>
        <v>288.98</v>
      </c>
      <c r="H89" s="94">
        <f t="shared" si="8"/>
        <v>5779.6</v>
      </c>
    </row>
    <row r="90" s="54" customFormat="1" ht="31.5" spans="1:8">
      <c r="A90" s="92" t="s">
        <v>247</v>
      </c>
      <c r="B90" s="83" t="s">
        <v>248</v>
      </c>
      <c r="C90" s="97" t="s">
        <v>249</v>
      </c>
      <c r="D90" s="111" t="s">
        <v>212</v>
      </c>
      <c r="E90" s="110">
        <f>'MEMÓRIA DE CÁLCULO'!E225</f>
        <v>10</v>
      </c>
      <c r="F90" s="109">
        <v>18.19</v>
      </c>
      <c r="G90" s="94">
        <f t="shared" si="7"/>
        <v>23.43</v>
      </c>
      <c r="H90" s="94">
        <f t="shared" si="8"/>
        <v>234.3</v>
      </c>
    </row>
    <row r="91" s="54" customFormat="1" ht="47.25" spans="1:8">
      <c r="A91" s="92" t="s">
        <v>250</v>
      </c>
      <c r="B91" s="83" t="s">
        <v>251</v>
      </c>
      <c r="C91" s="97" t="s">
        <v>252</v>
      </c>
      <c r="D91" s="111" t="s">
        <v>212</v>
      </c>
      <c r="E91" s="110">
        <f>'MEMÓRIA DE CÁLCULO'!E226</f>
        <v>2</v>
      </c>
      <c r="F91" s="109">
        <v>95.08</v>
      </c>
      <c r="G91" s="94">
        <f t="shared" si="7"/>
        <v>122.48</v>
      </c>
      <c r="H91" s="94">
        <f t="shared" si="8"/>
        <v>244.96</v>
      </c>
    </row>
    <row r="92" s="54" customFormat="1" ht="31.5" spans="1:8">
      <c r="A92" s="92" t="s">
        <v>253</v>
      </c>
      <c r="B92" s="83" t="s">
        <v>254</v>
      </c>
      <c r="C92" s="202" t="s">
        <v>255</v>
      </c>
      <c r="D92" s="111" t="s">
        <v>212</v>
      </c>
      <c r="E92" s="110">
        <f>'MEMÓRIA DE CÁLCULO'!E227</f>
        <v>1</v>
      </c>
      <c r="F92" s="109">
        <v>38.22</v>
      </c>
      <c r="G92" s="94">
        <f t="shared" si="7"/>
        <v>49.23</v>
      </c>
      <c r="H92" s="94">
        <f t="shared" si="8"/>
        <v>49.23</v>
      </c>
    </row>
    <row r="93" s="54" customFormat="1" ht="31.5" spans="1:8">
      <c r="A93" s="92" t="s">
        <v>256</v>
      </c>
      <c r="B93" s="83" t="s">
        <v>254</v>
      </c>
      <c r="C93" s="202" t="s">
        <v>257</v>
      </c>
      <c r="D93" s="111" t="s">
        <v>212</v>
      </c>
      <c r="E93" s="110">
        <f>'MEMÓRIA DE CÁLCULO'!E228</f>
        <v>1</v>
      </c>
      <c r="F93" s="109">
        <v>38.22</v>
      </c>
      <c r="G93" s="94">
        <f t="shared" si="7"/>
        <v>49.23</v>
      </c>
      <c r="H93" s="94">
        <f t="shared" si="8"/>
        <v>49.23</v>
      </c>
    </row>
    <row r="94" s="54" customFormat="1" ht="9.65" customHeight="1" spans="1:8">
      <c r="A94" s="89"/>
      <c r="B94" s="107"/>
      <c r="C94" s="113"/>
      <c r="D94" s="114"/>
      <c r="E94" s="110"/>
      <c r="F94" s="109"/>
      <c r="G94" s="94"/>
      <c r="H94" s="93"/>
    </row>
    <row r="95" s="54" customFormat="1" ht="28.5" customHeight="1" spans="1:8">
      <c r="A95" s="69" t="s">
        <v>30</v>
      </c>
      <c r="B95" s="70" t="s">
        <v>258</v>
      </c>
      <c r="C95" s="70"/>
      <c r="D95" s="70"/>
      <c r="E95" s="70"/>
      <c r="F95" s="70"/>
      <c r="G95" s="70"/>
      <c r="H95" s="71">
        <f>SUM(H96:H101)</f>
        <v>2567.49</v>
      </c>
    </row>
    <row r="96" s="54" customFormat="1" ht="47.25" spans="1:8">
      <c r="A96" s="92" t="s">
        <v>259</v>
      </c>
      <c r="B96" s="83" t="s">
        <v>260</v>
      </c>
      <c r="C96" s="202" t="s">
        <v>261</v>
      </c>
      <c r="D96" s="77" t="s">
        <v>207</v>
      </c>
      <c r="E96" s="115">
        <f>'MEMÓRIA DE CÁLCULO'!E231</f>
        <v>20</v>
      </c>
      <c r="F96" s="116">
        <v>13.36</v>
      </c>
      <c r="G96" s="94">
        <f t="shared" ref="G96:G101" si="9">TRUNC(F96+F96*$H$7,2)</f>
        <v>17.21</v>
      </c>
      <c r="H96" s="94">
        <f t="shared" ref="H96:H101" si="10">TRUNC(E96*G96,2)</f>
        <v>344.2</v>
      </c>
    </row>
    <row r="97" s="54" customFormat="1" ht="31.5" spans="1:8">
      <c r="A97" s="92" t="s">
        <v>262</v>
      </c>
      <c r="B97" s="83" t="s">
        <v>263</v>
      </c>
      <c r="C97" s="388" t="s">
        <v>264</v>
      </c>
      <c r="D97" s="77" t="s">
        <v>265</v>
      </c>
      <c r="E97" s="115">
        <f>'MEMÓRIA DE CÁLCULO'!E232</f>
        <v>6</v>
      </c>
      <c r="F97" s="116">
        <v>108.99</v>
      </c>
      <c r="G97" s="94">
        <f t="shared" si="9"/>
        <v>140.4</v>
      </c>
      <c r="H97" s="94">
        <f t="shared" si="10"/>
        <v>842.4</v>
      </c>
    </row>
    <row r="98" s="54" customFormat="1" ht="47.25" spans="1:8">
      <c r="A98" s="92" t="s">
        <v>266</v>
      </c>
      <c r="B98" s="83" t="s">
        <v>267</v>
      </c>
      <c r="C98" s="388" t="s">
        <v>268</v>
      </c>
      <c r="D98" s="77" t="s">
        <v>265</v>
      </c>
      <c r="E98" s="115">
        <f>'MEMÓRIA DE CÁLCULO'!E233</f>
        <v>3</v>
      </c>
      <c r="F98" s="116">
        <v>77.59</v>
      </c>
      <c r="G98" s="94">
        <f t="shared" si="9"/>
        <v>99.95</v>
      </c>
      <c r="H98" s="94">
        <f t="shared" si="10"/>
        <v>299.85</v>
      </c>
    </row>
    <row r="99" s="54" customFormat="1" ht="31.5" spans="1:8">
      <c r="A99" s="92" t="s">
        <v>269</v>
      </c>
      <c r="B99" s="83" t="s">
        <v>270</v>
      </c>
      <c r="C99" s="388" t="s">
        <v>271</v>
      </c>
      <c r="D99" s="77" t="s">
        <v>272</v>
      </c>
      <c r="E99" s="115">
        <f>'MEMÓRIA DE CÁLCULO'!E234</f>
        <v>1</v>
      </c>
      <c r="F99" s="116">
        <v>760.05</v>
      </c>
      <c r="G99" s="94">
        <f t="shared" si="9"/>
        <v>979.09</v>
      </c>
      <c r="H99" s="94">
        <f t="shared" si="10"/>
        <v>979.09</v>
      </c>
    </row>
    <row r="100" s="54" customFormat="1" ht="31.5" spans="1:8">
      <c r="A100" s="92" t="s">
        <v>273</v>
      </c>
      <c r="B100" s="83" t="s">
        <v>274</v>
      </c>
      <c r="C100" s="388" t="s">
        <v>275</v>
      </c>
      <c r="D100" s="77" t="s">
        <v>265</v>
      </c>
      <c r="E100" s="115">
        <f>'MEMÓRIA DE CÁLCULO'!E235</f>
        <v>1</v>
      </c>
      <c r="F100" s="116">
        <v>57.21</v>
      </c>
      <c r="G100" s="94">
        <f t="shared" si="9"/>
        <v>73.69</v>
      </c>
      <c r="H100" s="94">
        <f t="shared" si="10"/>
        <v>73.69</v>
      </c>
    </row>
    <row r="101" s="54" customFormat="1" ht="31.5" spans="1:8">
      <c r="A101" s="92" t="s">
        <v>276</v>
      </c>
      <c r="B101" s="83" t="s">
        <v>277</v>
      </c>
      <c r="C101" s="388" t="s">
        <v>278</v>
      </c>
      <c r="D101" s="77" t="s">
        <v>272</v>
      </c>
      <c r="E101" s="115">
        <f>'MEMÓRIA DE CÁLCULO'!E236</f>
        <v>1</v>
      </c>
      <c r="F101" s="116">
        <v>21.94</v>
      </c>
      <c r="G101" s="94">
        <f t="shared" si="9"/>
        <v>28.26</v>
      </c>
      <c r="H101" s="94">
        <f t="shared" si="10"/>
        <v>28.26</v>
      </c>
    </row>
    <row r="102" s="54" customFormat="1" ht="9.65" customHeight="1" spans="1:8">
      <c r="A102" s="92"/>
      <c r="B102" s="107"/>
      <c r="C102" s="91"/>
      <c r="D102" s="89"/>
      <c r="E102" s="115"/>
      <c r="F102" s="116"/>
      <c r="G102" s="94"/>
      <c r="H102" s="94"/>
    </row>
    <row r="103" s="54" customFormat="1" ht="26.25" customHeight="1" spans="1:8">
      <c r="A103" s="69" t="s">
        <v>32</v>
      </c>
      <c r="B103" s="70" t="s">
        <v>279</v>
      </c>
      <c r="C103" s="70"/>
      <c r="D103" s="70"/>
      <c r="E103" s="70"/>
      <c r="F103" s="70"/>
      <c r="G103" s="70"/>
      <c r="H103" s="71">
        <f>SUM(H104:H113)</f>
        <v>31190.33</v>
      </c>
    </row>
    <row r="104" s="54" customFormat="1" ht="31.5" spans="1:8">
      <c r="A104" s="92" t="s">
        <v>280</v>
      </c>
      <c r="B104" s="83" t="s">
        <v>107</v>
      </c>
      <c r="C104" s="86" t="s">
        <v>136</v>
      </c>
      <c r="D104" s="77" t="s">
        <v>66</v>
      </c>
      <c r="E104" s="115">
        <f>'MEMÓRIA DE CÁLCULO'!E239</f>
        <v>59.2</v>
      </c>
      <c r="F104" s="116">
        <v>31.06</v>
      </c>
      <c r="G104" s="94">
        <f t="shared" ref="G104:G113" si="11">TRUNC(F104+F104*$H$7,2)</f>
        <v>40.01</v>
      </c>
      <c r="H104" s="94">
        <f t="shared" ref="H104:H113" si="12">TRUNC(E104*G104,2)</f>
        <v>2368.59</v>
      </c>
    </row>
    <row r="105" s="54" customFormat="1" ht="31.5" spans="1:8">
      <c r="A105" s="92" t="s">
        <v>281</v>
      </c>
      <c r="B105" s="83" t="s">
        <v>282</v>
      </c>
      <c r="C105" s="86" t="s">
        <v>283</v>
      </c>
      <c r="D105" s="77" t="s">
        <v>207</v>
      </c>
      <c r="E105" s="115">
        <f>'MEMÓRIA DE CÁLCULO'!E240</f>
        <v>148</v>
      </c>
      <c r="F105" s="116">
        <v>29.19</v>
      </c>
      <c r="G105" s="94">
        <f t="shared" si="11"/>
        <v>37.6</v>
      </c>
      <c r="H105" s="94">
        <f t="shared" si="12"/>
        <v>5564.8</v>
      </c>
    </row>
    <row r="106" s="54" customFormat="1" ht="63" spans="1:8">
      <c r="A106" s="92" t="s">
        <v>284</v>
      </c>
      <c r="B106" s="83" t="s">
        <v>285</v>
      </c>
      <c r="C106" s="86" t="s">
        <v>286</v>
      </c>
      <c r="D106" s="77" t="s">
        <v>212</v>
      </c>
      <c r="E106" s="118">
        <f>'MEMÓRIA DE CÁLCULO'!E241</f>
        <v>10</v>
      </c>
      <c r="F106" s="109">
        <v>347.59</v>
      </c>
      <c r="G106" s="94">
        <f t="shared" si="11"/>
        <v>447.76</v>
      </c>
      <c r="H106" s="94">
        <f t="shared" si="12"/>
        <v>4477.6</v>
      </c>
    </row>
    <row r="107" s="54" customFormat="1" ht="63" spans="1:8">
      <c r="A107" s="92" t="s">
        <v>287</v>
      </c>
      <c r="B107" s="83" t="s">
        <v>288</v>
      </c>
      <c r="C107" s="86" t="s">
        <v>289</v>
      </c>
      <c r="D107" s="77" t="s">
        <v>265</v>
      </c>
      <c r="E107" s="118">
        <f>'MEMÓRIA DE CÁLCULO'!E242</f>
        <v>1</v>
      </c>
      <c r="F107" s="109">
        <v>429.21</v>
      </c>
      <c r="G107" s="94">
        <f t="shared" si="11"/>
        <v>552.9</v>
      </c>
      <c r="H107" s="94">
        <f t="shared" si="12"/>
        <v>552.9</v>
      </c>
    </row>
    <row r="108" s="54" customFormat="1" ht="58" customHeight="1" spans="1:8">
      <c r="A108" s="92" t="s">
        <v>290</v>
      </c>
      <c r="B108" s="83" t="s">
        <v>291</v>
      </c>
      <c r="C108" s="86" t="str">
        <f>'Composições de Custo'!C45</f>
        <v>FORNECIMENTO E INSTALAÇÃO DE MOTOBOMBA CENTRÍFUGA SUBMERSÍVEL PARA REALIZAR O RECALQUE DE ESGOTO SANITÁRIO, TENSÃO 220 V, VAZÃO 20 M³/H, POTÊNCIA 1,0 CV, RECALQUE 2" MODELO SCHNAIDER SÉRIE BCS OU SIMILAR</v>
      </c>
      <c r="D108" s="77" t="s">
        <v>292</v>
      </c>
      <c r="E108" s="115">
        <f>'MEMÓRIA DE CÁLCULO'!E243</f>
        <v>1</v>
      </c>
      <c r="F108" s="116">
        <f>'Composições de Custo'!G60</f>
        <v>4024.75</v>
      </c>
      <c r="G108" s="94">
        <f t="shared" si="11"/>
        <v>5184.68</v>
      </c>
      <c r="H108" s="94">
        <f t="shared" si="12"/>
        <v>5184.68</v>
      </c>
    </row>
    <row r="109" s="54" customFormat="1" ht="63" spans="1:8">
      <c r="A109" s="92" t="s">
        <v>293</v>
      </c>
      <c r="B109" s="83" t="s">
        <v>294</v>
      </c>
      <c r="C109" s="74" t="s">
        <v>295</v>
      </c>
      <c r="D109" s="111" t="s">
        <v>56</v>
      </c>
      <c r="E109" s="110">
        <f>'MEMÓRIA DE CÁLCULO'!E244</f>
        <v>458.8</v>
      </c>
      <c r="F109" s="109">
        <v>6.2</v>
      </c>
      <c r="G109" s="94">
        <f t="shared" si="11"/>
        <v>7.98</v>
      </c>
      <c r="H109" s="94">
        <f t="shared" si="12"/>
        <v>3661.22</v>
      </c>
    </row>
    <row r="110" s="54" customFormat="1" ht="37" customHeight="1" spans="1:8">
      <c r="A110" s="92" t="s">
        <v>296</v>
      </c>
      <c r="B110" s="73" t="s">
        <v>297</v>
      </c>
      <c r="C110" s="74" t="s">
        <v>298</v>
      </c>
      <c r="D110" s="111" t="s">
        <v>66</v>
      </c>
      <c r="E110" s="110">
        <f>'MEMÓRIA DE CÁLCULO'!E245</f>
        <v>29.6</v>
      </c>
      <c r="F110" s="109">
        <v>110.3</v>
      </c>
      <c r="G110" s="94">
        <f t="shared" si="11"/>
        <v>142.08</v>
      </c>
      <c r="H110" s="94">
        <f t="shared" si="12"/>
        <v>4205.56</v>
      </c>
    </row>
    <row r="111" s="54" customFormat="1" ht="37" customHeight="1" spans="1:8">
      <c r="A111" s="92" t="s">
        <v>299</v>
      </c>
      <c r="B111" s="83" t="s">
        <v>300</v>
      </c>
      <c r="C111" s="74" t="s">
        <v>301</v>
      </c>
      <c r="D111" s="77" t="s">
        <v>66</v>
      </c>
      <c r="E111" s="119">
        <f>'MEMÓRIA DE CÁLCULO'!E246</f>
        <v>29.6</v>
      </c>
      <c r="F111" s="93">
        <v>110.3</v>
      </c>
      <c r="G111" s="94">
        <f t="shared" si="11"/>
        <v>142.08</v>
      </c>
      <c r="H111" s="94">
        <f t="shared" si="12"/>
        <v>4205.56</v>
      </c>
    </row>
    <row r="112" s="54" customFormat="1" ht="37" customHeight="1" spans="1:8">
      <c r="A112" s="92" t="s">
        <v>302</v>
      </c>
      <c r="B112" s="83" t="s">
        <v>140</v>
      </c>
      <c r="C112" s="74" t="s">
        <v>141</v>
      </c>
      <c r="D112" s="77" t="s">
        <v>66</v>
      </c>
      <c r="E112" s="119">
        <f>'MEMÓRIA DE CÁLCULO'!E247</f>
        <v>14.8</v>
      </c>
      <c r="F112" s="93">
        <v>42.36</v>
      </c>
      <c r="G112" s="94">
        <f t="shared" si="11"/>
        <v>54.56</v>
      </c>
      <c r="H112" s="94">
        <f t="shared" si="12"/>
        <v>807.48</v>
      </c>
    </row>
    <row r="113" s="54" customFormat="1" ht="28" customHeight="1" spans="1:8">
      <c r="A113" s="92" t="s">
        <v>303</v>
      </c>
      <c r="B113" s="83" t="s">
        <v>304</v>
      </c>
      <c r="C113" s="74" t="s">
        <v>305</v>
      </c>
      <c r="D113" s="92" t="s">
        <v>306</v>
      </c>
      <c r="E113" s="119">
        <f>'MEMÓRIA DE CÁLCULO'!E248</f>
        <v>3.7</v>
      </c>
      <c r="F113" s="93">
        <v>33.98</v>
      </c>
      <c r="G113" s="94">
        <f t="shared" si="11"/>
        <v>43.77</v>
      </c>
      <c r="H113" s="94">
        <f t="shared" si="12"/>
        <v>161.94</v>
      </c>
    </row>
    <row r="114" s="54" customFormat="1" ht="9.65" customHeight="1" spans="1:8">
      <c r="A114" s="92"/>
      <c r="B114" s="90"/>
      <c r="C114" s="104"/>
      <c r="D114" s="89"/>
      <c r="E114" s="119"/>
      <c r="F114" s="93"/>
      <c r="G114" s="94"/>
      <c r="H114" s="94"/>
    </row>
    <row r="115" s="54" customFormat="1" ht="33" customHeight="1" spans="1:8">
      <c r="A115" s="69" t="s">
        <v>34</v>
      </c>
      <c r="B115" s="70" t="s">
        <v>307</v>
      </c>
      <c r="C115" s="70"/>
      <c r="D115" s="70"/>
      <c r="E115" s="70"/>
      <c r="F115" s="70"/>
      <c r="G115" s="70"/>
      <c r="H115" s="71">
        <f>SUM(H116:H122)</f>
        <v>5093.61</v>
      </c>
    </row>
    <row r="116" s="54" customFormat="1" ht="25" customHeight="1" spans="1:8">
      <c r="A116" s="92" t="s">
        <v>308</v>
      </c>
      <c r="B116" s="83" t="s">
        <v>100</v>
      </c>
      <c r="C116" s="74" t="s">
        <v>309</v>
      </c>
      <c r="D116" s="77" t="s">
        <v>66</v>
      </c>
      <c r="E116" s="119">
        <f>'MEMÓRIA DE CÁLCULO'!E251</f>
        <v>0.74</v>
      </c>
      <c r="F116" s="93">
        <v>285.66</v>
      </c>
      <c r="G116" s="94">
        <f t="shared" ref="G116:G122" si="13">TRUNC(F116+F116*$H$7,2)</f>
        <v>367.98</v>
      </c>
      <c r="H116" s="94">
        <f t="shared" ref="H116:H122" si="14">TRUNC(E116*G116,2)</f>
        <v>272.3</v>
      </c>
    </row>
    <row r="117" s="54" customFormat="1" ht="38" customHeight="1" spans="1:8">
      <c r="A117" s="92" t="s">
        <v>310</v>
      </c>
      <c r="B117" s="83" t="s">
        <v>311</v>
      </c>
      <c r="C117" s="74" t="s">
        <v>312</v>
      </c>
      <c r="D117" s="77" t="s">
        <v>56</v>
      </c>
      <c r="E117" s="119">
        <f>'MEMÓRIA DE CÁLCULO'!E252</f>
        <v>15</v>
      </c>
      <c r="F117" s="93">
        <v>39.28</v>
      </c>
      <c r="G117" s="94">
        <f t="shared" si="13"/>
        <v>50.6</v>
      </c>
      <c r="H117" s="94">
        <f t="shared" si="14"/>
        <v>759</v>
      </c>
    </row>
    <row r="118" s="54" customFormat="1" ht="39" customHeight="1" spans="1:8">
      <c r="A118" s="92" t="s">
        <v>313</v>
      </c>
      <c r="B118" s="83" t="s">
        <v>314</v>
      </c>
      <c r="C118" s="74" t="s">
        <v>315</v>
      </c>
      <c r="D118" s="77" t="s">
        <v>56</v>
      </c>
      <c r="E118" s="119">
        <f>'MEMÓRIA DE CÁLCULO'!E253</f>
        <v>6</v>
      </c>
      <c r="F118" s="93">
        <v>35.78</v>
      </c>
      <c r="G118" s="94">
        <f t="shared" si="13"/>
        <v>46.09</v>
      </c>
      <c r="H118" s="94">
        <f t="shared" si="14"/>
        <v>276.54</v>
      </c>
    </row>
    <row r="119" s="54" customFormat="1" ht="70" customHeight="1" spans="1:8">
      <c r="A119" s="92" t="s">
        <v>316</v>
      </c>
      <c r="B119" s="83" t="s">
        <v>317</v>
      </c>
      <c r="C119" s="74" t="s">
        <v>318</v>
      </c>
      <c r="D119" s="77" t="s">
        <v>56</v>
      </c>
      <c r="E119" s="119">
        <f>'MEMÓRIA DE CÁLCULO'!E254</f>
        <v>21</v>
      </c>
      <c r="F119" s="93">
        <v>30.25</v>
      </c>
      <c r="G119" s="94">
        <f t="shared" si="13"/>
        <v>38.96</v>
      </c>
      <c r="H119" s="94">
        <f t="shared" si="14"/>
        <v>818.16</v>
      </c>
    </row>
    <row r="120" s="54" customFormat="1" ht="51" customHeight="1" spans="1:8">
      <c r="A120" s="92" t="s">
        <v>319</v>
      </c>
      <c r="B120" s="83" t="s">
        <v>320</v>
      </c>
      <c r="C120" s="74" t="s">
        <v>321</v>
      </c>
      <c r="D120" s="77" t="s">
        <v>207</v>
      </c>
      <c r="E120" s="119">
        <f>'MEMÓRIA DE CÁLCULO'!E255</f>
        <v>20</v>
      </c>
      <c r="F120" s="93">
        <v>65.08</v>
      </c>
      <c r="G120" s="94">
        <f t="shared" si="13"/>
        <v>83.83</v>
      </c>
      <c r="H120" s="94">
        <f t="shared" si="14"/>
        <v>1676.6</v>
      </c>
    </row>
    <row r="121" s="54" customFormat="1" ht="38" customHeight="1" spans="1:8">
      <c r="A121" s="92" t="s">
        <v>322</v>
      </c>
      <c r="B121" s="83" t="s">
        <v>323</v>
      </c>
      <c r="C121" s="74" t="s">
        <v>324</v>
      </c>
      <c r="D121" s="77" t="s">
        <v>56</v>
      </c>
      <c r="E121" s="119">
        <f>'MEMÓRIA DE CÁLCULO'!E256</f>
        <v>7.36</v>
      </c>
      <c r="F121" s="93">
        <v>105.1</v>
      </c>
      <c r="G121" s="94">
        <f t="shared" si="13"/>
        <v>135.38</v>
      </c>
      <c r="H121" s="94">
        <f t="shared" si="14"/>
        <v>996.39</v>
      </c>
    </row>
    <row r="122" s="54" customFormat="1" ht="31.5" spans="1:8">
      <c r="A122" s="92" t="s">
        <v>325</v>
      </c>
      <c r="B122" s="83" t="s">
        <v>140</v>
      </c>
      <c r="C122" s="97" t="s">
        <v>141</v>
      </c>
      <c r="D122" s="77" t="s">
        <v>66</v>
      </c>
      <c r="E122" s="119">
        <f>'MEMÓRIA DE CÁLCULO'!E257</f>
        <v>5.4</v>
      </c>
      <c r="F122" s="93">
        <v>42.36</v>
      </c>
      <c r="G122" s="94">
        <f t="shared" si="13"/>
        <v>54.56</v>
      </c>
      <c r="H122" s="94">
        <f t="shared" si="14"/>
        <v>294.62</v>
      </c>
    </row>
    <row r="123" s="54" customFormat="1" ht="9.65" customHeight="1" spans="1:8">
      <c r="A123" s="92"/>
      <c r="B123" s="90"/>
      <c r="C123" s="104"/>
      <c r="D123" s="89"/>
      <c r="E123" s="119"/>
      <c r="F123" s="93"/>
      <c r="G123" s="94"/>
      <c r="H123" s="94"/>
    </row>
    <row r="124" s="54" customFormat="1" ht="31.5" customHeight="1" spans="1:8">
      <c r="A124" s="69" t="s">
        <v>36</v>
      </c>
      <c r="B124" s="70" t="s">
        <v>326</v>
      </c>
      <c r="C124" s="70"/>
      <c r="D124" s="70"/>
      <c r="E124" s="70"/>
      <c r="F124" s="70"/>
      <c r="G124" s="70"/>
      <c r="H124" s="71">
        <f>SUM(H125:H136)</f>
        <v>17994.45</v>
      </c>
    </row>
    <row r="125" s="54" customFormat="1" ht="31.5" spans="1:8">
      <c r="A125" s="92" t="s">
        <v>327</v>
      </c>
      <c r="B125" s="83" t="s">
        <v>107</v>
      </c>
      <c r="C125" s="74" t="s">
        <v>328</v>
      </c>
      <c r="D125" s="77" t="s">
        <v>66</v>
      </c>
      <c r="E125" s="119">
        <f>'MEMÓRIA DE CÁLCULO'!E260</f>
        <v>16.52</v>
      </c>
      <c r="F125" s="93">
        <v>31.06</v>
      </c>
      <c r="G125" s="94">
        <f t="shared" ref="G125:G136" si="15">TRUNC(F125+F125*$H$7,2)</f>
        <v>40.01</v>
      </c>
      <c r="H125" s="94">
        <f t="shared" ref="H125:H136" si="16">TRUNC(E125*G125,2)</f>
        <v>660.96</v>
      </c>
    </row>
    <row r="126" s="54" customFormat="1" ht="36" customHeight="1" spans="1:8">
      <c r="A126" s="92" t="s">
        <v>329</v>
      </c>
      <c r="B126" s="83" t="s">
        <v>145</v>
      </c>
      <c r="C126" s="86" t="s">
        <v>330</v>
      </c>
      <c r="D126" s="77" t="s">
        <v>66</v>
      </c>
      <c r="E126" s="119">
        <f>'MEMÓRIA DE CÁLCULO'!E263</f>
        <v>0.82</v>
      </c>
      <c r="F126" s="93">
        <v>417.36</v>
      </c>
      <c r="G126" s="94">
        <f t="shared" si="15"/>
        <v>537.64</v>
      </c>
      <c r="H126" s="94">
        <f t="shared" si="16"/>
        <v>440.86</v>
      </c>
    </row>
    <row r="127" s="54" customFormat="1" ht="35" customHeight="1" spans="1:8">
      <c r="A127" s="92" t="s">
        <v>331</v>
      </c>
      <c r="B127" s="83" t="s">
        <v>332</v>
      </c>
      <c r="C127" s="86" t="s">
        <v>333</v>
      </c>
      <c r="D127" s="77" t="s">
        <v>66</v>
      </c>
      <c r="E127" s="119">
        <f>'MEMÓRIA DE CÁLCULO'!E266</f>
        <v>0.82</v>
      </c>
      <c r="F127" s="93">
        <v>1628.72</v>
      </c>
      <c r="G127" s="94">
        <f t="shared" si="15"/>
        <v>2098.11</v>
      </c>
      <c r="H127" s="94">
        <f t="shared" si="16"/>
        <v>1720.45</v>
      </c>
    </row>
    <row r="128" s="54" customFormat="1" ht="47.25" spans="1:8">
      <c r="A128" s="92" t="s">
        <v>334</v>
      </c>
      <c r="B128" s="83" t="s">
        <v>335</v>
      </c>
      <c r="C128" s="86" t="s">
        <v>336</v>
      </c>
      <c r="D128" s="77" t="s">
        <v>66</v>
      </c>
      <c r="E128" s="119">
        <f>'MEMÓRIA DE CÁLCULO'!E269</f>
        <v>0.2</v>
      </c>
      <c r="F128" s="93">
        <v>2439.32</v>
      </c>
      <c r="G128" s="94">
        <f t="shared" si="15"/>
        <v>3142.33</v>
      </c>
      <c r="H128" s="94">
        <f t="shared" si="16"/>
        <v>628.46</v>
      </c>
    </row>
    <row r="129" s="54" customFormat="1" ht="37" customHeight="1" spans="1:8">
      <c r="A129" s="92" t="s">
        <v>337</v>
      </c>
      <c r="B129" s="83" t="s">
        <v>338</v>
      </c>
      <c r="C129" s="86" t="s">
        <v>339</v>
      </c>
      <c r="D129" s="77" t="s">
        <v>56</v>
      </c>
      <c r="E129" s="119">
        <f>'MEMÓRIA DE CÁLCULO'!E270</f>
        <v>22.08</v>
      </c>
      <c r="F129" s="93">
        <v>151.69</v>
      </c>
      <c r="G129" s="94">
        <f t="shared" si="15"/>
        <v>195.4</v>
      </c>
      <c r="H129" s="94">
        <f t="shared" si="16"/>
        <v>4314.43</v>
      </c>
    </row>
    <row r="130" s="54" customFormat="1" ht="38" customHeight="1" spans="1:8">
      <c r="A130" s="92" t="s">
        <v>340</v>
      </c>
      <c r="B130" s="83" t="s">
        <v>341</v>
      </c>
      <c r="C130" s="86" t="s">
        <v>342</v>
      </c>
      <c r="D130" s="77" t="s">
        <v>56</v>
      </c>
      <c r="E130" s="119">
        <f>'MEMÓRIA DE CÁLCULO'!E273</f>
        <v>7.66</v>
      </c>
      <c r="F130" s="93">
        <v>105.1</v>
      </c>
      <c r="G130" s="94">
        <f t="shared" si="15"/>
        <v>135.38</v>
      </c>
      <c r="H130" s="94">
        <f t="shared" si="16"/>
        <v>1037.01</v>
      </c>
    </row>
    <row r="131" s="54" customFormat="1" ht="63" spans="1:8">
      <c r="A131" s="92" t="s">
        <v>343</v>
      </c>
      <c r="B131" s="83" t="s">
        <v>344</v>
      </c>
      <c r="C131" s="86" t="s">
        <v>345</v>
      </c>
      <c r="D131" s="77" t="s">
        <v>212</v>
      </c>
      <c r="E131" s="119">
        <f>'MEMÓRIA DE CÁLCULO'!E276</f>
        <v>1</v>
      </c>
      <c r="F131" s="93">
        <v>1586.09</v>
      </c>
      <c r="G131" s="94">
        <f t="shared" si="15"/>
        <v>2043.2</v>
      </c>
      <c r="H131" s="94">
        <f t="shared" si="16"/>
        <v>2043.2</v>
      </c>
    </row>
    <row r="132" s="54" customFormat="1" ht="47.25" spans="1:8">
      <c r="A132" s="92" t="s">
        <v>346</v>
      </c>
      <c r="B132" s="83" t="s">
        <v>347</v>
      </c>
      <c r="C132" s="74" t="s">
        <v>321</v>
      </c>
      <c r="D132" s="77" t="s">
        <v>219</v>
      </c>
      <c r="E132" s="119">
        <f>'MEMÓRIA DE CÁLCULO'!E277</f>
        <v>12</v>
      </c>
      <c r="F132" s="93">
        <v>65.08</v>
      </c>
      <c r="G132" s="94">
        <f t="shared" si="15"/>
        <v>83.83</v>
      </c>
      <c r="H132" s="94">
        <f t="shared" si="16"/>
        <v>1005.96</v>
      </c>
    </row>
    <row r="133" s="54" customFormat="1" ht="47.25" spans="1:8">
      <c r="A133" s="92" t="s">
        <v>348</v>
      </c>
      <c r="B133" s="83" t="s">
        <v>291</v>
      </c>
      <c r="C133" s="86" t="str">
        <f>'Composições de Custo'!C45</f>
        <v>FORNECIMENTO E INSTALAÇÃO DE MOTOBOMBA CENTRÍFUGA SUBMERSÍVEL PARA REALIZAR O RECALQUE DE ESGOTO SANITÁRIO, TENSÃO 220 V, VAZÃO 20 M³/H, POTÊNCIA 1,0 CV, RECALQUE 2" MODELO SCHNAIDER SÉRIE BCS OU SIMILAR</v>
      </c>
      <c r="D133" s="77" t="s">
        <v>292</v>
      </c>
      <c r="E133" s="115">
        <f>'MEMÓRIA DE CÁLCULO'!E278</f>
        <v>1</v>
      </c>
      <c r="F133" s="116">
        <f>'Composições de Custo'!G60</f>
        <v>4024.75</v>
      </c>
      <c r="G133" s="94">
        <f t="shared" si="15"/>
        <v>5184.68</v>
      </c>
      <c r="H133" s="94">
        <f t="shared" si="16"/>
        <v>5184.68</v>
      </c>
    </row>
    <row r="134" s="54" customFormat="1" ht="37" customHeight="1" spans="1:8">
      <c r="A134" s="92" t="s">
        <v>349</v>
      </c>
      <c r="B134" s="83" t="s">
        <v>300</v>
      </c>
      <c r="C134" s="86" t="s">
        <v>301</v>
      </c>
      <c r="D134" s="77" t="s">
        <v>66</v>
      </c>
      <c r="E134" s="119">
        <f>'MEMÓRIA DE CÁLCULO'!E279</f>
        <v>3.18</v>
      </c>
      <c r="F134" s="93">
        <v>110.3</v>
      </c>
      <c r="G134" s="94">
        <f t="shared" si="15"/>
        <v>142.08</v>
      </c>
      <c r="H134" s="94">
        <f t="shared" si="16"/>
        <v>451.81</v>
      </c>
    </row>
    <row r="135" s="54" customFormat="1" ht="36" customHeight="1" spans="1:8">
      <c r="A135" s="92" t="s">
        <v>350</v>
      </c>
      <c r="B135" s="83" t="s">
        <v>140</v>
      </c>
      <c r="C135" s="86" t="s">
        <v>141</v>
      </c>
      <c r="D135" s="77" t="s">
        <v>66</v>
      </c>
      <c r="E135" s="119">
        <f>'MEMÓRIA DE CÁLCULO'!E280</f>
        <v>5</v>
      </c>
      <c r="F135" s="93">
        <v>42.36</v>
      </c>
      <c r="G135" s="94">
        <f t="shared" si="15"/>
        <v>54.56</v>
      </c>
      <c r="H135" s="94">
        <f t="shared" si="16"/>
        <v>272.8</v>
      </c>
    </row>
    <row r="136" s="54" customFormat="1" ht="37" customHeight="1" spans="1:8">
      <c r="A136" s="92" t="s">
        <v>351</v>
      </c>
      <c r="B136" s="83" t="s">
        <v>352</v>
      </c>
      <c r="C136" s="86" t="s">
        <v>353</v>
      </c>
      <c r="D136" s="77" t="s">
        <v>66</v>
      </c>
      <c r="E136" s="119">
        <f>'MEMÓRIA DE CÁLCULO'!E281</f>
        <v>14.97</v>
      </c>
      <c r="F136" s="93">
        <v>12.13</v>
      </c>
      <c r="G136" s="94">
        <f t="shared" si="15"/>
        <v>15.62</v>
      </c>
      <c r="H136" s="94">
        <f t="shared" si="16"/>
        <v>233.83</v>
      </c>
    </row>
    <row r="137" s="54" customFormat="1" ht="7" customHeight="1" spans="1:8">
      <c r="A137" s="92"/>
      <c r="B137" s="78"/>
      <c r="C137" s="95"/>
      <c r="D137" s="96"/>
      <c r="E137" s="119"/>
      <c r="F137" s="93"/>
      <c r="G137" s="94"/>
      <c r="H137" s="94"/>
    </row>
    <row r="138" s="54" customFormat="1" ht="35" customHeight="1" spans="1:8">
      <c r="A138" s="69" t="s">
        <v>38</v>
      </c>
      <c r="B138" s="70" t="s">
        <v>354</v>
      </c>
      <c r="C138" s="70"/>
      <c r="D138" s="70"/>
      <c r="E138" s="70"/>
      <c r="F138" s="70"/>
      <c r="G138" s="70"/>
      <c r="H138" s="71">
        <f>SUM(H139:H147)</f>
        <v>4315.16</v>
      </c>
    </row>
    <row r="139" s="54" customFormat="1" ht="36" customHeight="1" spans="1:8">
      <c r="A139" s="92" t="s">
        <v>355</v>
      </c>
      <c r="B139" s="83" t="s">
        <v>107</v>
      </c>
      <c r="C139" s="86" t="str">
        <f>'MEMÓRIA DE CÁLCULO'!C284</f>
        <v>ESCAVACAO MANUAL EM TERRA ATE 1,50 M DE PROFUNDIDADE, SEM ESCORAMENTO. </v>
      </c>
      <c r="D139" s="77" t="s">
        <v>66</v>
      </c>
      <c r="E139" s="119">
        <f>'MEMÓRIA DE CÁLCULO'!E284</f>
        <v>2</v>
      </c>
      <c r="F139" s="93">
        <v>31.06</v>
      </c>
      <c r="G139" s="94">
        <f t="shared" ref="G139:G147" si="17">TRUNC(F139+F139*$H$7,2)</f>
        <v>40.01</v>
      </c>
      <c r="H139" s="94">
        <f t="shared" ref="H139:H147" si="18">TRUNC(E139*G139,2)</f>
        <v>80.02</v>
      </c>
    </row>
    <row r="140" s="54" customFormat="1" ht="28" customHeight="1" spans="1:8">
      <c r="A140" s="92" t="s">
        <v>356</v>
      </c>
      <c r="B140" s="83" t="s">
        <v>357</v>
      </c>
      <c r="C140" s="86" t="str">
        <f>'MEMÓRIA DE CÁLCULO'!C285</f>
        <v>DEMOLICAO DE ALVENARIA DE PEDRA REJUNTADA.</v>
      </c>
      <c r="D140" s="77" t="s">
        <v>66</v>
      </c>
      <c r="E140" s="119">
        <f>'MEMÓRIA DE CÁLCULO'!E285</f>
        <v>1.8</v>
      </c>
      <c r="F140" s="93">
        <v>230.69</v>
      </c>
      <c r="G140" s="94">
        <f t="shared" si="17"/>
        <v>297.17</v>
      </c>
      <c r="H140" s="94">
        <f t="shared" si="18"/>
        <v>534.9</v>
      </c>
    </row>
    <row r="141" s="54" customFormat="1" ht="31.5" spans="1:8">
      <c r="A141" s="92" t="s">
        <v>358</v>
      </c>
      <c r="B141" s="83" t="s">
        <v>145</v>
      </c>
      <c r="C141" s="86" t="str">
        <f>'MEMÓRIA DE CÁLCULO'!C286</f>
        <v>CONCRETO NAO ESTRUTURAL (1 4 8) PARA LASTROS DE PISOS E FUNDACOES, LANCADO E ADENSADO.</v>
      </c>
      <c r="D141" s="77" t="s">
        <v>66</v>
      </c>
      <c r="E141" s="119">
        <f>'MEMÓRIA DE CÁLCULO'!E286</f>
        <v>0.2</v>
      </c>
      <c r="F141" s="93">
        <v>417.36</v>
      </c>
      <c r="G141" s="94">
        <f t="shared" si="17"/>
        <v>537.64</v>
      </c>
      <c r="H141" s="94">
        <f t="shared" si="18"/>
        <v>107.52</v>
      </c>
    </row>
    <row r="142" s="54" customFormat="1" ht="31.5" spans="1:8">
      <c r="A142" s="92" t="s">
        <v>359</v>
      </c>
      <c r="B142" s="83" t="s">
        <v>148</v>
      </c>
      <c r="C142" s="86" t="str">
        <f>'MEMÓRIA DE CÁLCULO'!C287</f>
        <v>CONCRETO ARMADO PRONTO, FCK 30 MPA CONDICAO A (NBR 12655), LANCADO EM FUNDACOES E ADENSADO, INCLUSIVE FORMA, ESCORAMENTO E FERRAGEM.</v>
      </c>
      <c r="D142" s="77" t="s">
        <v>66</v>
      </c>
      <c r="E142" s="119">
        <f>'MEMÓRIA DE CÁLCULO'!E287</f>
        <v>0.38</v>
      </c>
      <c r="F142" s="93">
        <v>1658.99</v>
      </c>
      <c r="G142" s="94">
        <f t="shared" si="17"/>
        <v>2137.11</v>
      </c>
      <c r="H142" s="94">
        <f t="shared" si="18"/>
        <v>812.1</v>
      </c>
    </row>
    <row r="143" s="54" customFormat="1" ht="31.5" spans="1:8">
      <c r="A143" s="92" t="s">
        <v>360</v>
      </c>
      <c r="B143" s="83" t="s">
        <v>151</v>
      </c>
      <c r="C143" s="86" t="str">
        <f>'MEMÓRIA DE CÁLCULO'!C288</f>
        <v>CONCRETO ARMADO PRONTO, FCK 30 MPA,CONDICAO A (NBR 12655), LANCADO EM PILARES E ADENSADO,INCLUSIVE FORMA, ESCORAMENTO E FERRAGEM. </v>
      </c>
      <c r="D143" s="77" t="s">
        <v>66</v>
      </c>
      <c r="E143" s="119">
        <f>'MEMÓRIA DE CÁLCULO'!E288</f>
        <v>0.38</v>
      </c>
      <c r="F143" s="93">
        <v>2859.32</v>
      </c>
      <c r="G143" s="94">
        <f t="shared" si="17"/>
        <v>3683.37</v>
      </c>
      <c r="H143" s="94">
        <f t="shared" si="18"/>
        <v>1399.68</v>
      </c>
    </row>
    <row r="144" s="54" customFormat="1" ht="31.5" spans="1:8">
      <c r="A144" s="92" t="s">
        <v>361</v>
      </c>
      <c r="B144" s="83" t="s">
        <v>362</v>
      </c>
      <c r="C144" s="86" t="str">
        <f>'MEMÓRIA DE CÁLCULO'!C289</f>
        <v>ALVENARIA EM PEDRA RACHAO ASSENTADA E REJUNTADA COM ARGAMASSA DE CIMENTO E AREIA NO TRACO 1:6.</v>
      </c>
      <c r="D144" s="77" t="s">
        <v>66</v>
      </c>
      <c r="E144" s="119">
        <f>'MEMÓRIA DE CÁLCULO'!E289</f>
        <v>1.8</v>
      </c>
      <c r="F144" s="93">
        <v>403.58</v>
      </c>
      <c r="G144" s="94">
        <f t="shared" si="17"/>
        <v>519.89</v>
      </c>
      <c r="H144" s="94">
        <f t="shared" si="18"/>
        <v>935.8</v>
      </c>
    </row>
    <row r="145" s="54" customFormat="1" ht="31.5" spans="1:8">
      <c r="A145" s="92" t="s">
        <v>363</v>
      </c>
      <c r="B145" s="83" t="s">
        <v>157</v>
      </c>
      <c r="C145" s="86" t="str">
        <f>'MEMÓRIA DE CÁLCULO'!C290</f>
        <v>CONCRETO ARMADO PRONTO, FCK 30 MPA,CONDICAO A (NBR 12656), LANCADO EM VIGAS E ADENSADO, INCLUSIVE FORMA, ESCORAMENTO E FERRAGEM. </v>
      </c>
      <c r="D145" s="77" t="s">
        <v>66</v>
      </c>
      <c r="E145" s="119">
        <f>'MEMÓRIA DE CÁLCULO'!E290</f>
        <v>0.09</v>
      </c>
      <c r="F145" s="93">
        <v>2462.89</v>
      </c>
      <c r="G145" s="94">
        <f t="shared" si="17"/>
        <v>3172.69</v>
      </c>
      <c r="H145" s="94">
        <f t="shared" si="18"/>
        <v>285.54</v>
      </c>
    </row>
    <row r="146" s="54" customFormat="1" ht="31.5" spans="1:8">
      <c r="A146" s="92" t="s">
        <v>364</v>
      </c>
      <c r="B146" s="83" t="s">
        <v>352</v>
      </c>
      <c r="C146" s="86" t="str">
        <f>'MEMÓRIA DE CÁLCULO'!C291</f>
        <v>REMOCAO DE MATERIAL DE PRIMEIRA CATEGORIA EM CAMINHAO BASCULANTE, D.M.T. 6 KM, INCLUSIVE CARGA E DESCARGA MECANICAS .</v>
      </c>
      <c r="D146" s="77" t="s">
        <v>66</v>
      </c>
      <c r="E146" s="119">
        <f>'MEMÓRIA DE CÁLCULO'!E291</f>
        <v>4.56</v>
      </c>
      <c r="F146" s="93">
        <v>12.13</v>
      </c>
      <c r="G146" s="94">
        <f t="shared" si="17"/>
        <v>15.62</v>
      </c>
      <c r="H146" s="94">
        <f t="shared" si="18"/>
        <v>71.22</v>
      </c>
    </row>
    <row r="147" s="54" customFormat="1" ht="31.5" spans="1:8">
      <c r="A147" s="92" t="s">
        <v>365</v>
      </c>
      <c r="B147" s="83" t="s">
        <v>140</v>
      </c>
      <c r="C147" s="86" t="str">
        <f>'MEMÓRIA DE CÁLCULO'!C292</f>
        <v>REATERRO APILOADO DE VALAS EM CAMADAS DE 20CM DE ESPESSURA, COM APROVEITAMENTO DO MATERIAL ESCAVADO. </v>
      </c>
      <c r="D147" s="77" t="s">
        <v>66</v>
      </c>
      <c r="E147" s="119">
        <f>'MEMÓRIA DE CÁLCULO'!E292</f>
        <v>1.62</v>
      </c>
      <c r="F147" s="93">
        <v>42.36</v>
      </c>
      <c r="G147" s="94">
        <f t="shared" si="17"/>
        <v>54.56</v>
      </c>
      <c r="H147" s="94">
        <f t="shared" si="18"/>
        <v>88.38</v>
      </c>
    </row>
    <row r="148" s="54" customFormat="1" ht="9.65" customHeight="1" spans="1:8">
      <c r="A148" s="92"/>
      <c r="B148" s="90"/>
      <c r="C148" s="104"/>
      <c r="D148" s="89"/>
      <c r="E148" s="119"/>
      <c r="F148" s="93"/>
      <c r="G148" s="94"/>
      <c r="H148" s="94"/>
    </row>
    <row r="149" s="54" customFormat="1" ht="30" customHeight="1" spans="1:8">
      <c r="A149" s="69" t="s">
        <v>40</v>
      </c>
      <c r="B149" s="70" t="s">
        <v>366</v>
      </c>
      <c r="C149" s="70"/>
      <c r="D149" s="70"/>
      <c r="E149" s="70"/>
      <c r="F149" s="70"/>
      <c r="G149" s="70"/>
      <c r="H149" s="71">
        <f>SUM(H150:H152)</f>
        <v>32854.73</v>
      </c>
    </row>
    <row r="150" s="54" customFormat="1" ht="31.5" spans="1:8">
      <c r="A150" s="92" t="s">
        <v>367</v>
      </c>
      <c r="B150" s="83" t="s">
        <v>368</v>
      </c>
      <c r="C150" s="88" t="s">
        <v>369</v>
      </c>
      <c r="D150" s="77" t="s">
        <v>212</v>
      </c>
      <c r="E150" s="119">
        <f>'MEMÓRIA DE CÁLCULO'!E295</f>
        <v>1</v>
      </c>
      <c r="F150" s="93">
        <v>421.96</v>
      </c>
      <c r="G150" s="94">
        <f>TRUNC(F150+F150*$H$7,2)</f>
        <v>543.56</v>
      </c>
      <c r="H150" s="94">
        <f>TRUNC(E150*G150,2)</f>
        <v>543.56</v>
      </c>
    </row>
    <row r="151" s="54" customFormat="1" ht="34" customHeight="1" spans="1:8">
      <c r="A151" s="92" t="s">
        <v>370</v>
      </c>
      <c r="B151" s="83" t="s">
        <v>181</v>
      </c>
      <c r="C151" s="97" t="s">
        <v>182</v>
      </c>
      <c r="D151" s="77" t="s">
        <v>56</v>
      </c>
      <c r="E151" s="119">
        <f>'MEMÓRIA DE CÁLCULO'!E296</f>
        <v>21</v>
      </c>
      <c r="F151" s="93">
        <v>184.27</v>
      </c>
      <c r="G151" s="94">
        <f>TRUNC(F151+F151*$H$7,2)</f>
        <v>237.37</v>
      </c>
      <c r="H151" s="94">
        <f>TRUNC(E151*G151,2)</f>
        <v>4984.77</v>
      </c>
    </row>
    <row r="152" s="54" customFormat="1" ht="21" customHeight="1" spans="1:8">
      <c r="A152" s="92" t="s">
        <v>371</v>
      </c>
      <c r="B152" s="83" t="s">
        <v>372</v>
      </c>
      <c r="C152" s="97" t="s">
        <v>373</v>
      </c>
      <c r="D152" s="77" t="s">
        <v>73</v>
      </c>
      <c r="E152" s="119">
        <f>'MEMÓRIA DE CÁLCULO'!E297</f>
        <v>30</v>
      </c>
      <c r="F152" s="93">
        <f>'Composições de Custo'!G26</f>
        <v>707.1</v>
      </c>
      <c r="G152" s="94">
        <f>TRUNC(F152+F152*$H$7,2)</f>
        <v>910.88</v>
      </c>
      <c r="H152" s="94">
        <f>TRUNC(E152*G152,2)</f>
        <v>27326.4</v>
      </c>
    </row>
    <row r="153" s="54" customFormat="1" ht="8" customHeight="1" spans="1:8">
      <c r="A153" s="92"/>
      <c r="B153" s="90"/>
      <c r="C153" s="104"/>
      <c r="D153" s="89"/>
      <c r="E153" s="119"/>
      <c r="F153" s="93"/>
      <c r="G153" s="94"/>
      <c r="H153" s="94"/>
    </row>
    <row r="154" s="54" customFormat="1" ht="30" customHeight="1" spans="1:8">
      <c r="A154" s="69">
        <v>160</v>
      </c>
      <c r="B154" s="70" t="s">
        <v>374</v>
      </c>
      <c r="C154" s="70"/>
      <c r="D154" s="70"/>
      <c r="E154" s="70"/>
      <c r="F154" s="70"/>
      <c r="G154" s="70"/>
      <c r="H154" s="71">
        <f>H155</f>
        <v>1282.5</v>
      </c>
    </row>
    <row r="155" s="54" customFormat="1" ht="27" customHeight="1" spans="1:8">
      <c r="A155" s="92" t="s">
        <v>375</v>
      </c>
      <c r="B155" s="83" t="s">
        <v>376</v>
      </c>
      <c r="C155" s="74" t="s">
        <v>377</v>
      </c>
      <c r="D155" s="77" t="s">
        <v>56</v>
      </c>
      <c r="E155" s="119">
        <f>'MEMÓRIA DE CÁLCULO'!E300</f>
        <v>750</v>
      </c>
      <c r="F155" s="93">
        <v>1.33</v>
      </c>
      <c r="G155" s="94">
        <f>TRUNC(F155+F155*$H$7,2)</f>
        <v>1.71</v>
      </c>
      <c r="H155" s="94">
        <f>TRUNC(E155*G155,2)</f>
        <v>1282.5</v>
      </c>
    </row>
    <row r="156" s="54" customFormat="1" ht="7" customHeight="1" spans="1:8">
      <c r="A156" s="92"/>
      <c r="B156" s="107"/>
      <c r="C156" s="120"/>
      <c r="D156" s="92"/>
      <c r="E156" s="119"/>
      <c r="F156" s="93"/>
      <c r="G156" s="94"/>
      <c r="H156" s="94"/>
    </row>
    <row r="157" s="54" customFormat="1" ht="35.1" customHeight="1" spans="1:8">
      <c r="A157" s="121" t="s">
        <v>378</v>
      </c>
      <c r="B157" s="121"/>
      <c r="C157" s="121"/>
      <c r="D157" s="121"/>
      <c r="E157" s="121"/>
      <c r="F157" s="121"/>
      <c r="G157" s="121"/>
      <c r="H157" s="122">
        <f>H154+H149+H138+H124+H115+H103+H95+H77+H71+H65+H59+H54+H45+H33+H18+H10</f>
        <v>510180.55</v>
      </c>
    </row>
    <row r="158" s="54" customFormat="1" ht="29" customHeight="1" spans="1:8">
      <c r="A158" s="123" t="s">
        <v>379</v>
      </c>
      <c r="B158" s="123"/>
      <c r="C158" s="124" t="s">
        <v>380</v>
      </c>
      <c r="D158" s="124"/>
      <c r="E158" s="124"/>
      <c r="F158" s="124"/>
      <c r="G158" s="124"/>
      <c r="H158" s="124"/>
    </row>
    <row r="159" s="54" customFormat="1" ht="36" customHeight="1" spans="1:8">
      <c r="A159" s="389" t="s">
        <v>381</v>
      </c>
      <c r="B159" s="389"/>
      <c r="C159" s="389"/>
      <c r="D159" s="389"/>
      <c r="E159" s="389"/>
      <c r="F159" s="389"/>
      <c r="G159" s="389"/>
      <c r="H159" s="389"/>
    </row>
    <row r="160" s="385" customFormat="1" ht="14" customHeight="1" spans="1:8">
      <c r="A160" s="61"/>
      <c r="B160" s="61"/>
      <c r="C160" s="61"/>
      <c r="D160" s="61"/>
      <c r="E160" s="61"/>
      <c r="F160" s="61"/>
      <c r="G160" s="61"/>
      <c r="H160" s="61"/>
    </row>
    <row r="161" s="56" customFormat="1" spans="1:8">
      <c r="A161" s="126"/>
      <c r="B161" s="126"/>
      <c r="C161" s="126"/>
      <c r="D161" s="126"/>
      <c r="E161" s="126"/>
      <c r="F161" s="126"/>
      <c r="G161" s="126"/>
      <c r="H161" s="126"/>
    </row>
    <row r="169" spans="7:7">
      <c r="G169" s="59">
        <v>505574.95</v>
      </c>
    </row>
  </sheetData>
  <mergeCells count="70">
    <mergeCell ref="A1:H1"/>
    <mergeCell ref="A2:H2"/>
    <mergeCell ref="A3:H3"/>
    <mergeCell ref="A4:B4"/>
    <mergeCell ref="C4:H4"/>
    <mergeCell ref="A5:B5"/>
    <mergeCell ref="C5:H5"/>
    <mergeCell ref="A6:B6"/>
    <mergeCell ref="C6:H6"/>
    <mergeCell ref="B10:G10"/>
    <mergeCell ref="B18:G18"/>
    <mergeCell ref="B33:G33"/>
    <mergeCell ref="B45:G45"/>
    <mergeCell ref="B54:G54"/>
    <mergeCell ref="B59:G59"/>
    <mergeCell ref="B65:G65"/>
    <mergeCell ref="B71:G71"/>
    <mergeCell ref="B77:G77"/>
    <mergeCell ref="B95:G95"/>
    <mergeCell ref="B103:G103"/>
    <mergeCell ref="B115:G115"/>
    <mergeCell ref="B124:G124"/>
    <mergeCell ref="B138:G138"/>
    <mergeCell ref="B149:G149"/>
    <mergeCell ref="B154:G154"/>
    <mergeCell ref="A157:G157"/>
    <mergeCell ref="A158:B158"/>
    <mergeCell ref="C158:H158"/>
    <mergeCell ref="A159:H159"/>
    <mergeCell ref="A160:H160"/>
    <mergeCell ref="I160:P160"/>
    <mergeCell ref="Q160:X160"/>
    <mergeCell ref="Y160:AF160"/>
    <mergeCell ref="AG160:AN160"/>
    <mergeCell ref="AO160:AV160"/>
    <mergeCell ref="AW160:BD160"/>
    <mergeCell ref="BE160:BL160"/>
    <mergeCell ref="BM160:BT160"/>
    <mergeCell ref="BU160:CB160"/>
    <mergeCell ref="CC160:CJ160"/>
    <mergeCell ref="CK160:CR160"/>
    <mergeCell ref="CS160:CZ160"/>
    <mergeCell ref="DA160:DH160"/>
    <mergeCell ref="DI160:DP160"/>
    <mergeCell ref="DQ160:DX160"/>
    <mergeCell ref="DY160:EF160"/>
    <mergeCell ref="EG160:EN160"/>
    <mergeCell ref="EO160:EV160"/>
    <mergeCell ref="EW160:FD160"/>
    <mergeCell ref="FE160:FL160"/>
    <mergeCell ref="FM160:FT160"/>
    <mergeCell ref="FU160:GB160"/>
    <mergeCell ref="GC160:GJ160"/>
    <mergeCell ref="GK160:GR160"/>
    <mergeCell ref="GS160:GZ160"/>
    <mergeCell ref="HA160:HH160"/>
    <mergeCell ref="HI160:HP160"/>
    <mergeCell ref="HQ160:HX160"/>
    <mergeCell ref="HY160:IF160"/>
    <mergeCell ref="IG160:IN160"/>
    <mergeCell ref="IO160:IV160"/>
    <mergeCell ref="A161:H161"/>
    <mergeCell ref="A7:A9"/>
    <mergeCell ref="B7:B9"/>
    <mergeCell ref="C7:C9"/>
    <mergeCell ref="D7:D9"/>
    <mergeCell ref="E7:E9"/>
    <mergeCell ref="F7:F9"/>
    <mergeCell ref="G7:G9"/>
    <mergeCell ref="H8:H9"/>
  </mergeCells>
  <printOptions horizontalCentered="1"/>
  <pageMargins left="0.727777777777778" right="0.511805555555555" top="0.786805555555556" bottom="0.786805555555556" header="0.511805555555555" footer="0.511805555555555"/>
  <pageSetup paperSize="9" scale="41" firstPageNumber="0" orientation="portrait" useFirstPageNumber="1" horizontalDpi="300" verticalDpi="300"/>
  <headerFooter/>
  <rowBreaks count="4" manualBreakCount="4">
    <brk id="44" max="16383" man="1"/>
    <brk id="76" max="16383" man="1"/>
    <brk id="107" max="16383" man="1"/>
    <brk id="134" max="16383" man="1"/>
  </rowBreaks>
  <colBreaks count="1" manualBreakCount="1">
    <brk id="8" max="65533"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L300"/>
  <sheetViews>
    <sheetView view="pageBreakPreview" zoomScale="53" zoomScalePageLayoutView="80" zoomScaleNormal="79" workbookViewId="0">
      <selection activeCell="T5" sqref="T5"/>
    </sheetView>
  </sheetViews>
  <sheetFormatPr defaultColWidth="9.13333333333333" defaultRowHeight="15.75"/>
  <cols>
    <col min="1" max="1" width="9.78888888888889" style="343" customWidth="1"/>
    <col min="2" max="2" width="39.3555555555556" style="343" customWidth="1"/>
    <col min="3" max="3" width="110" style="343" customWidth="1"/>
    <col min="4" max="4" width="10.1444444444444" style="343" customWidth="1"/>
    <col min="5" max="5" width="11.8555555555556" style="344" customWidth="1"/>
    <col min="6" max="9" width="10.5111111111111" style="343" customWidth="1"/>
    <col min="10" max="10" width="12.5" style="345" customWidth="1"/>
    <col min="11" max="64" width="9.33333333333333" style="343" customWidth="1"/>
    <col min="65" max="1025" width="9.14444444444444" style="55"/>
  </cols>
  <sheetData>
    <row r="1" ht="87" customHeight="1" spans="1:10">
      <c r="A1" s="346" t="s">
        <v>0</v>
      </c>
      <c r="B1" s="346"/>
      <c r="C1" s="346"/>
      <c r="D1" s="346"/>
      <c r="E1" s="346"/>
      <c r="F1" s="346"/>
      <c r="G1" s="346"/>
      <c r="H1" s="346"/>
      <c r="I1" s="346"/>
      <c r="J1" s="346"/>
    </row>
    <row r="2" ht="28" customHeight="1" spans="1:10">
      <c r="A2" s="347" t="s">
        <v>1</v>
      </c>
      <c r="B2" s="347"/>
      <c r="C2" s="347"/>
      <c r="D2" s="347"/>
      <c r="E2" s="347"/>
      <c r="F2" s="347"/>
      <c r="G2" s="347"/>
      <c r="H2" s="347"/>
      <c r="I2" s="347"/>
      <c r="J2" s="347"/>
    </row>
    <row r="3" ht="28" customHeight="1" spans="1:10">
      <c r="A3" s="348" t="s">
        <v>382</v>
      </c>
      <c r="B3" s="348"/>
      <c r="C3" s="348"/>
      <c r="D3" s="348"/>
      <c r="E3" s="348"/>
      <c r="F3" s="348"/>
      <c r="G3" s="348"/>
      <c r="H3" s="348"/>
      <c r="I3" s="348"/>
      <c r="J3" s="348"/>
    </row>
    <row r="4" ht="41" customHeight="1" spans="1:10">
      <c r="A4" s="349" t="s">
        <v>3</v>
      </c>
      <c r="B4" s="349"/>
      <c r="C4" s="350" t="s">
        <v>4</v>
      </c>
      <c r="D4" s="350"/>
      <c r="E4" s="350"/>
      <c r="F4" s="350"/>
      <c r="G4" s="350"/>
      <c r="H4" s="350"/>
      <c r="I4" s="350"/>
      <c r="J4" s="350"/>
    </row>
    <row r="5" ht="34" customHeight="1" spans="1:10">
      <c r="A5" s="349" t="s">
        <v>5</v>
      </c>
      <c r="B5" s="349"/>
      <c r="C5" s="350" t="s">
        <v>6</v>
      </c>
      <c r="D5" s="350"/>
      <c r="E5" s="350"/>
      <c r="F5" s="350"/>
      <c r="G5" s="350"/>
      <c r="H5" s="350"/>
      <c r="I5" s="350"/>
      <c r="J5" s="350"/>
    </row>
    <row r="6" ht="34" customHeight="1" spans="1:10">
      <c r="A6" s="349" t="s">
        <v>7</v>
      </c>
      <c r="B6" s="349"/>
      <c r="C6" s="350" t="str">
        <f>RESUMO!B6</f>
        <v>COMPOSIÇÕES DE CUSTOS  E COTAÇÃO + TABELA DA SINAPI-PE (DEZ/2020)-DESONERADA E EMLURB (JULHO/2018)  + (BDI 28,82%).</v>
      </c>
      <c r="D6" s="350"/>
      <c r="E6" s="350"/>
      <c r="F6" s="350"/>
      <c r="G6" s="350"/>
      <c r="H6" s="350"/>
      <c r="I6" s="350"/>
      <c r="J6" s="350"/>
    </row>
    <row r="7" ht="32" customHeight="1" spans="1:64">
      <c r="A7" s="351" t="s">
        <v>9</v>
      </c>
      <c r="B7" s="65" t="s">
        <v>383</v>
      </c>
      <c r="C7" s="65" t="s">
        <v>384</v>
      </c>
      <c r="D7" s="65" t="s">
        <v>47</v>
      </c>
      <c r="E7" s="65" t="s">
        <v>48</v>
      </c>
      <c r="F7" s="65" t="s">
        <v>385</v>
      </c>
      <c r="G7" s="65" t="s">
        <v>386</v>
      </c>
      <c r="H7" s="65" t="s">
        <v>387</v>
      </c>
      <c r="I7" s="65" t="s">
        <v>388</v>
      </c>
      <c r="J7" s="366" t="s">
        <v>389</v>
      </c>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row>
    <row r="8" ht="26.25" customHeight="1" spans="1:10">
      <c r="A8" s="351" t="s">
        <v>12</v>
      </c>
      <c r="B8" s="352" t="s">
        <v>390</v>
      </c>
      <c r="C8" s="352"/>
      <c r="D8" s="352"/>
      <c r="E8" s="352"/>
      <c r="F8" s="352"/>
      <c r="G8" s="352"/>
      <c r="H8" s="352"/>
      <c r="I8" s="352"/>
      <c r="J8" s="352"/>
    </row>
    <row r="9" ht="31.5" spans="1:10">
      <c r="A9" s="353" t="s">
        <v>53</v>
      </c>
      <c r="B9" s="354" t="str">
        <f>'ORÇAMENTO BÁSICO'!B11</f>
        <v>4813 - insumos (SINAPI – 12/2020)</v>
      </c>
      <c r="C9" s="120" t="str">
        <f>'ORÇAMENTO BÁSICO'!C11</f>
        <v>PLACA DE OBRA (PARA CONSTRUCAO CIVIL) EM CHAPA GALVANIZADA *N. 22*, ADESIVADA.</v>
      </c>
      <c r="D9" s="107" t="s">
        <v>56</v>
      </c>
      <c r="E9" s="355">
        <f>J9</f>
        <v>6</v>
      </c>
      <c r="F9" s="356">
        <v>3</v>
      </c>
      <c r="G9" s="356">
        <v>2</v>
      </c>
      <c r="H9" s="107" t="s">
        <v>391</v>
      </c>
      <c r="I9" s="356"/>
      <c r="J9" s="368">
        <f>F9*G9</f>
        <v>6</v>
      </c>
    </row>
    <row r="10" customHeight="1" spans="1:10">
      <c r="A10" s="353" t="s">
        <v>57</v>
      </c>
      <c r="B10" s="354" t="str">
        <f>'ORÇAMENTO BÁSICO'!B12</f>
        <v>03.02.020 (EMLURB - 07/2018)</v>
      </c>
      <c r="C10" s="74" t="str">
        <f>'ORÇAMENTO BÁSICO'!C12</f>
        <v>CAPINACAO E LIMPEZA SUPERFICIAL DO TERRENO. </v>
      </c>
      <c r="D10" s="107" t="s">
        <v>56</v>
      </c>
      <c r="E10" s="355">
        <v>200</v>
      </c>
      <c r="F10" s="356"/>
      <c r="G10" s="107"/>
      <c r="H10" s="356"/>
      <c r="I10" s="107"/>
      <c r="J10" s="368"/>
    </row>
    <row r="11" spans="1:10">
      <c r="A11" s="353"/>
      <c r="B11" s="354"/>
      <c r="C11" s="357" t="s">
        <v>392</v>
      </c>
      <c r="D11" s="107"/>
      <c r="E11" s="355"/>
      <c r="F11" s="356">
        <v>32</v>
      </c>
      <c r="G11" s="107"/>
      <c r="H11" s="356">
        <v>1.5</v>
      </c>
      <c r="I11" s="107"/>
      <c r="J11" s="368">
        <f>F11*H11</f>
        <v>48</v>
      </c>
    </row>
    <row r="12" spans="1:10">
      <c r="A12" s="353"/>
      <c r="B12" s="354"/>
      <c r="C12" s="357" t="s">
        <v>393</v>
      </c>
      <c r="D12" s="107"/>
      <c r="E12" s="355"/>
      <c r="F12" s="356">
        <v>5</v>
      </c>
      <c r="G12" s="107"/>
      <c r="H12" s="356">
        <v>7</v>
      </c>
      <c r="I12" s="107"/>
      <c r="J12" s="368">
        <f>F12*H12</f>
        <v>35</v>
      </c>
    </row>
    <row r="13" spans="1:10">
      <c r="A13" s="353"/>
      <c r="B13" s="354"/>
      <c r="C13" s="357" t="s">
        <v>394</v>
      </c>
      <c r="D13" s="107"/>
      <c r="E13" s="355"/>
      <c r="F13" s="356">
        <v>15</v>
      </c>
      <c r="G13" s="107"/>
      <c r="H13" s="356">
        <v>3</v>
      </c>
      <c r="I13" s="107"/>
      <c r="J13" s="368">
        <f>F13*H13</f>
        <v>45</v>
      </c>
    </row>
    <row r="14" spans="1:10">
      <c r="A14" s="353"/>
      <c r="B14" s="354"/>
      <c r="C14" s="357" t="s">
        <v>395</v>
      </c>
      <c r="D14" s="107"/>
      <c r="E14" s="355"/>
      <c r="F14" s="356">
        <v>21</v>
      </c>
      <c r="G14" s="107"/>
      <c r="H14" s="356">
        <v>2.5</v>
      </c>
      <c r="I14" s="107"/>
      <c r="J14" s="368">
        <f>F14*H14</f>
        <v>52.5</v>
      </c>
    </row>
    <row r="15" spans="1:10">
      <c r="A15" s="353"/>
      <c r="B15" s="354"/>
      <c r="C15" s="357" t="s">
        <v>396</v>
      </c>
      <c r="D15" s="107"/>
      <c r="E15" s="355"/>
      <c r="F15" s="356">
        <v>10</v>
      </c>
      <c r="G15" s="107"/>
      <c r="H15" s="356">
        <v>2</v>
      </c>
      <c r="I15" s="107"/>
      <c r="J15" s="368">
        <v>19.5</v>
      </c>
    </row>
    <row r="16" spans="1:10">
      <c r="A16" s="353" t="s">
        <v>60</v>
      </c>
      <c r="B16" s="73" t="str">
        <f>'ORÇAMENTO BÁSICO'!B13</f>
        <v>03.02.030 (EMLURB - 07/2018)</v>
      </c>
      <c r="C16" s="120" t="str">
        <f>'ORÇAMENTO BÁSICO'!C13</f>
        <v>RASPAGEM E LIMPEZA DO TERRENO (LIMPEZA DO CANAL)</v>
      </c>
      <c r="D16" s="77" t="s">
        <v>56</v>
      </c>
      <c r="E16" s="355">
        <f>J16</f>
        <v>100</v>
      </c>
      <c r="F16" s="356">
        <v>100</v>
      </c>
      <c r="G16" s="356"/>
      <c r="H16" s="107">
        <v>1</v>
      </c>
      <c r="I16" s="356"/>
      <c r="J16" s="368">
        <f>F16*H16</f>
        <v>100</v>
      </c>
    </row>
    <row r="17" ht="37.5" customHeight="1" spans="1:10">
      <c r="A17" s="353" t="s">
        <v>63</v>
      </c>
      <c r="B17" s="78" t="str">
        <f>'ORÇAMENTO BÁSICO'!B14</f>
        <v>04.03.050 (EMLURB - 07/2018)</v>
      </c>
      <c r="C17" s="120" t="str">
        <f>'ORÇAMENTO BÁSICO'!C14</f>
        <v>REMOCAO DE MATERIAL DE PRIMEIRA CATEGORIA EM CAMINHAO BASCULANTE, D.M.T. 12 KM, INCLUSIVE CARGA MANUAL E DESCARGA MECANICA.</v>
      </c>
      <c r="D17" s="73" t="s">
        <v>66</v>
      </c>
      <c r="E17" s="355">
        <f>TRUNC(J17+J18,2)</f>
        <v>45</v>
      </c>
      <c r="F17" s="356">
        <f>E10</f>
        <v>200</v>
      </c>
      <c r="G17" s="356">
        <v>0.15</v>
      </c>
      <c r="H17" s="107"/>
      <c r="I17" s="356"/>
      <c r="J17" s="368">
        <f>F17*G17</f>
        <v>30</v>
      </c>
    </row>
    <row r="18" ht="37.5" customHeight="1" spans="1:10">
      <c r="A18" s="353"/>
      <c r="B18" s="78"/>
      <c r="C18" s="120"/>
      <c r="D18" s="73"/>
      <c r="E18" s="355"/>
      <c r="F18" s="356">
        <v>100</v>
      </c>
      <c r="G18" s="356">
        <v>0.15</v>
      </c>
      <c r="H18" s="107"/>
      <c r="I18" s="356"/>
      <c r="J18" s="368">
        <f>F18*G18</f>
        <v>15</v>
      </c>
    </row>
    <row r="19" ht="40" customHeight="1" spans="1:10">
      <c r="A19" s="353" t="s">
        <v>67</v>
      </c>
      <c r="B19" s="354" t="str">
        <f>'ORÇAMENTO BÁSICO'!B15</f>
        <v>03.03.040 (EMLURB - 07/2018)</v>
      </c>
      <c r="C19" s="120" t="str">
        <f>'ORÇAMENTO BÁSICO'!C15</f>
        <v>FORNECIMENTO E ASSENTAMENTO DE TAPUME EM CHAPAS DE MADEIRA COMPENSADA DE 6 MM. </v>
      </c>
      <c r="D19" s="73" t="s">
        <v>56</v>
      </c>
      <c r="E19" s="355">
        <f>J19</f>
        <v>132</v>
      </c>
      <c r="F19" s="356">
        <v>60</v>
      </c>
      <c r="G19" s="356">
        <v>2.2</v>
      </c>
      <c r="H19" s="107"/>
      <c r="I19" s="356"/>
      <c r="J19" s="368">
        <f>F19*G19</f>
        <v>132</v>
      </c>
    </row>
    <row r="20" ht="31.5" spans="1:10">
      <c r="A20" s="353" t="s">
        <v>70</v>
      </c>
      <c r="B20" s="354" t="str">
        <f>'ORÇAMENTO BÁSICO'!B16</f>
        <v>02.01.200 (EMLURB - 07/2018)</v>
      </c>
      <c r="C20" s="120" t="str">
        <f>'ORÇAMENTO BÁSICO'!C16</f>
        <v>SERVICO TOPOGRAFICO DE PEQUENO PORTE (PRECO MINIMO), DIARIA DE UMA EQUIPE COM TOPOGRAFO, QUATRO AUXILIARES, TEODOLITO, NIVEL OTICO ETC. </v>
      </c>
      <c r="D20" s="73" t="s">
        <v>73</v>
      </c>
      <c r="E20" s="355">
        <f>J20</f>
        <v>5</v>
      </c>
      <c r="F20" s="358"/>
      <c r="G20" s="358"/>
      <c r="H20" s="358"/>
      <c r="I20" s="358"/>
      <c r="J20" s="368">
        <v>5</v>
      </c>
    </row>
    <row r="21" ht="9" customHeight="1" spans="1:10">
      <c r="A21" s="353"/>
      <c r="B21" s="354"/>
      <c r="C21" s="120"/>
      <c r="D21" s="354"/>
      <c r="E21" s="355"/>
      <c r="F21" s="358"/>
      <c r="G21" s="358"/>
      <c r="H21" s="358"/>
      <c r="I21" s="358"/>
      <c r="J21" s="368"/>
    </row>
    <row r="22" ht="30" customHeight="1" spans="1:10">
      <c r="A22" s="351" t="s">
        <v>14</v>
      </c>
      <c r="B22" s="352" t="s">
        <v>397</v>
      </c>
      <c r="C22" s="352"/>
      <c r="D22" s="352"/>
      <c r="E22" s="352"/>
      <c r="F22" s="352"/>
      <c r="G22" s="352"/>
      <c r="H22" s="352"/>
      <c r="I22" s="352"/>
      <c r="J22" s="352"/>
    </row>
    <row r="23" ht="15" customHeight="1" spans="1:10">
      <c r="A23" s="359" t="s">
        <v>75</v>
      </c>
      <c r="B23" s="107" t="str">
        <f>'ORÇAMENTO BÁSICO'!B19</f>
        <v>03.01.010 (EMLURB - 07/2018)</v>
      </c>
      <c r="C23" s="103" t="str">
        <f>'ORÇAMENTO BÁSICO'!C19</f>
        <v>DEMOLICAO DE COBERTURA COM TELHAS CERAMICAS.</v>
      </c>
      <c r="D23" s="77" t="s">
        <v>56</v>
      </c>
      <c r="E23" s="355">
        <f>TRUNC(J23+J24,2)</f>
        <v>272.8</v>
      </c>
      <c r="F23" s="115">
        <v>23</v>
      </c>
      <c r="G23" s="107"/>
      <c r="H23" s="115">
        <v>5.5</v>
      </c>
      <c r="I23" s="107"/>
      <c r="J23" s="368">
        <f>F23*H23</f>
        <v>126.5</v>
      </c>
    </row>
    <row r="24" spans="1:10">
      <c r="A24" s="359"/>
      <c r="B24" s="107"/>
      <c r="C24" s="103"/>
      <c r="D24" s="77"/>
      <c r="E24" s="355"/>
      <c r="F24" s="115">
        <v>19</v>
      </c>
      <c r="G24" s="107"/>
      <c r="H24" s="115">
        <v>7.7</v>
      </c>
      <c r="I24" s="107"/>
      <c r="J24" s="368">
        <f>F24*H24</f>
        <v>146.3</v>
      </c>
    </row>
    <row r="25" ht="21" customHeight="1" spans="1:10">
      <c r="A25" s="359" t="s">
        <v>78</v>
      </c>
      <c r="B25" s="107" t="str">
        <f>'ORÇAMENTO BÁSICO'!B20</f>
        <v>03.01.020 (EMLURB - 07/2018)</v>
      </c>
      <c r="C25" s="103" t="str">
        <f>'ORÇAMENTO BÁSICO'!C20</f>
        <v>DEMOLICAO DE COBERTURA COM TELHA ONDULADA DE FIBRO-CIMENTO. </v>
      </c>
      <c r="D25" s="77" t="s">
        <v>56</v>
      </c>
      <c r="E25" s="360">
        <f>J25</f>
        <v>172.8</v>
      </c>
      <c r="F25" s="115">
        <v>24</v>
      </c>
      <c r="G25" s="107"/>
      <c r="H25" s="115">
        <v>7.2</v>
      </c>
      <c r="I25" s="107"/>
      <c r="J25" s="368">
        <f>F25*H25</f>
        <v>172.8</v>
      </c>
    </row>
    <row r="26" ht="16.05" customHeight="1" spans="1:10">
      <c r="A26" s="359" t="s">
        <v>81</v>
      </c>
      <c r="B26" s="107" t="str">
        <f>'ORÇAMENTO BÁSICO'!B21</f>
        <v>03.01.050 (EMLURB - 07/2018)</v>
      </c>
      <c r="C26" s="103" t="str">
        <f>'ORÇAMENTO BÁSICO'!C21</f>
        <v>RETIRADA DE ESQUADRIAS DE MADEIRA OU METALICAS</v>
      </c>
      <c r="D26" s="77" t="s">
        <v>56</v>
      </c>
      <c r="E26" s="360">
        <f>TRUNC(J26+J27,2)</f>
        <v>39.57</v>
      </c>
      <c r="F26" s="115"/>
      <c r="G26" s="107">
        <v>2.1</v>
      </c>
      <c r="H26" s="115">
        <v>0.9</v>
      </c>
      <c r="I26" s="107">
        <v>13</v>
      </c>
      <c r="J26" s="368">
        <f>G26*H26*I26</f>
        <v>24.57</v>
      </c>
    </row>
    <row r="27" spans="1:10">
      <c r="A27" s="359"/>
      <c r="B27" s="107"/>
      <c r="C27" s="103"/>
      <c r="D27" s="77"/>
      <c r="E27" s="360"/>
      <c r="F27" s="115">
        <v>1.5</v>
      </c>
      <c r="G27" s="107">
        <v>1</v>
      </c>
      <c r="H27" s="115"/>
      <c r="I27" s="107">
        <v>10</v>
      </c>
      <c r="J27" s="368">
        <f>F27*G27*I27</f>
        <v>15</v>
      </c>
    </row>
    <row r="28" spans="1:10">
      <c r="A28" s="359"/>
      <c r="B28" s="107"/>
      <c r="C28" s="103"/>
      <c r="D28" s="77"/>
      <c r="E28" s="360"/>
      <c r="F28" s="115"/>
      <c r="G28" s="107"/>
      <c r="H28" s="115"/>
      <c r="I28" s="107"/>
      <c r="J28" s="368">
        <f>E28</f>
        <v>0</v>
      </c>
    </row>
    <row r="29" ht="16" customHeight="1" spans="1:10">
      <c r="A29" s="361" t="s">
        <v>84</v>
      </c>
      <c r="B29" s="107" t="str">
        <f>'ORÇAMENTO BÁSICO'!B22</f>
        <v>03.01.060 (EMLURB - 07/2018)</v>
      </c>
      <c r="C29" s="103" t="str">
        <f>'ORÇAMENTO BÁSICO'!C22</f>
        <v>DEMOLICAO DE REVESTIMENTO DE PISO EM CIMENTADO.</v>
      </c>
      <c r="D29" s="77" t="s">
        <v>56</v>
      </c>
      <c r="E29" s="360">
        <f>J29</f>
        <v>391.5</v>
      </c>
      <c r="F29" s="115">
        <v>27</v>
      </c>
      <c r="G29" s="107"/>
      <c r="H29" s="115">
        <v>14.5</v>
      </c>
      <c r="I29" s="107"/>
      <c r="J29" s="368">
        <f>F29*H29</f>
        <v>391.5</v>
      </c>
    </row>
    <row r="30" ht="31.5" spans="1:10">
      <c r="A30" s="361" t="s">
        <v>87</v>
      </c>
      <c r="B30" s="107" t="str">
        <f>'ORÇAMENTO BÁSICO'!B23</f>
        <v>03.01.070 (EMLURB - 07/2018)</v>
      </c>
      <c r="C30" s="108" t="str">
        <f>'ORÇAMENTO BÁSICO'!C23</f>
        <v>DEMOLICAO DE REVESTIMENTO DE PISO EM CIMENTADO INCLUSIVE LASTRO DE CONCRETO. </v>
      </c>
      <c r="D30" s="77" t="s">
        <v>56</v>
      </c>
      <c r="E30" s="360">
        <f>J30</f>
        <v>39</v>
      </c>
      <c r="F30" s="115">
        <f>24+15</f>
        <v>39</v>
      </c>
      <c r="G30" s="107"/>
      <c r="H30" s="115">
        <v>1</v>
      </c>
      <c r="I30" s="107"/>
      <c r="J30" s="368">
        <f>F30*H30</f>
        <v>39</v>
      </c>
    </row>
    <row r="31" spans="1:10">
      <c r="A31" s="361" t="s">
        <v>90</v>
      </c>
      <c r="B31" s="107" t="str">
        <f>'ORÇAMENTO BÁSICO'!B24</f>
        <v>03.01.080 (EMLURB - 07/2018)</v>
      </c>
      <c r="C31" s="108" t="str">
        <f>'ORÇAMENTO BÁSICO'!C24</f>
        <v>DEMOLICAO DE REVESTIMENTO DE PISO COM LADRILHO HIDRAULICO OU CERAMICO. </v>
      </c>
      <c r="D31" s="77" t="s">
        <v>56</v>
      </c>
      <c r="E31" s="360">
        <f>J31</f>
        <v>52.5</v>
      </c>
      <c r="F31" s="115">
        <v>3.5</v>
      </c>
      <c r="G31" s="107"/>
      <c r="H31" s="115">
        <v>15</v>
      </c>
      <c r="I31" s="107"/>
      <c r="J31" s="368">
        <f>F31*H31</f>
        <v>52.5</v>
      </c>
    </row>
    <row r="32" spans="1:10">
      <c r="A32" s="361" t="s">
        <v>93</v>
      </c>
      <c r="B32" s="107" t="str">
        <f>'ORÇAMENTO BÁSICO'!B25</f>
        <v>03.01.120 (EMLURB - 07/2018)</v>
      </c>
      <c r="C32" s="108" t="str">
        <f>'ORÇAMENTO BÁSICO'!C25</f>
        <v>DEMOLICAO DE REVESTIMENTO COM AZULEJOS OU CERAMICAS.</v>
      </c>
      <c r="D32" s="77" t="s">
        <v>56</v>
      </c>
      <c r="E32" s="360">
        <f>J32</f>
        <v>55</v>
      </c>
      <c r="F32" s="115">
        <v>27.5</v>
      </c>
      <c r="G32" s="107"/>
      <c r="H32" s="115">
        <v>2</v>
      </c>
      <c r="I32" s="107"/>
      <c r="J32" s="368">
        <f>F32*H32</f>
        <v>55</v>
      </c>
    </row>
    <row r="33" spans="1:10">
      <c r="A33" s="361" t="s">
        <v>96</v>
      </c>
      <c r="B33" s="107" t="str">
        <f>'ORÇAMENTO BÁSICO'!B26</f>
        <v>03.01.130 (EMLURB - 07/2018)</v>
      </c>
      <c r="C33" s="108" t="str">
        <f>'ORÇAMENTO BÁSICO'!C26</f>
        <v>DEMOLICAO DE REVESTIMENTO COM ARGAMASSA DE CAL E AREIA.</v>
      </c>
      <c r="D33" s="77" t="s">
        <v>56</v>
      </c>
      <c r="E33" s="360">
        <f>TRUNC(SUM(J34:J48),2)</f>
        <v>668.01</v>
      </c>
      <c r="F33" s="115"/>
      <c r="G33" s="107"/>
      <c r="H33" s="115"/>
      <c r="I33" s="107"/>
      <c r="J33" s="368"/>
    </row>
    <row r="34" spans="1:10">
      <c r="A34" s="359"/>
      <c r="B34" s="107"/>
      <c r="C34" s="362" t="s">
        <v>398</v>
      </c>
      <c r="D34" s="77"/>
      <c r="E34" s="360"/>
      <c r="F34" s="356">
        <v>8</v>
      </c>
      <c r="G34" s="356">
        <v>1.7</v>
      </c>
      <c r="H34" s="115">
        <v>5</v>
      </c>
      <c r="I34" s="107">
        <v>2</v>
      </c>
      <c r="J34" s="368">
        <f t="shared" ref="J34:J48" si="0">((H34+F34)*I34)*G34</f>
        <v>44.2</v>
      </c>
    </row>
    <row r="35" spans="1:10">
      <c r="A35" s="359"/>
      <c r="B35" s="107"/>
      <c r="C35" s="362" t="s">
        <v>399</v>
      </c>
      <c r="D35" s="77"/>
      <c r="E35" s="360"/>
      <c r="F35" s="356">
        <v>8</v>
      </c>
      <c r="G35" s="356">
        <v>1.7</v>
      </c>
      <c r="H35" s="115">
        <v>5</v>
      </c>
      <c r="I35" s="107">
        <v>2</v>
      </c>
      <c r="J35" s="368">
        <f t="shared" si="0"/>
        <v>44.2</v>
      </c>
    </row>
    <row r="36" spans="1:10">
      <c r="A36" s="359"/>
      <c r="B36" s="107"/>
      <c r="C36" s="362" t="s">
        <v>400</v>
      </c>
      <c r="D36" s="77"/>
      <c r="E36" s="360"/>
      <c r="F36" s="356">
        <v>8</v>
      </c>
      <c r="G36" s="356">
        <v>1.7</v>
      </c>
      <c r="H36" s="115">
        <v>5</v>
      </c>
      <c r="I36" s="107">
        <v>2</v>
      </c>
      <c r="J36" s="368">
        <f t="shared" si="0"/>
        <v>44.2</v>
      </c>
    </row>
    <row r="37" spans="1:10">
      <c r="A37" s="359"/>
      <c r="B37" s="107"/>
      <c r="C37" s="362" t="s">
        <v>401</v>
      </c>
      <c r="D37" s="77"/>
      <c r="E37" s="360"/>
      <c r="F37" s="356">
        <v>4.65</v>
      </c>
      <c r="G37" s="356">
        <v>1.7</v>
      </c>
      <c r="H37" s="115">
        <v>5</v>
      </c>
      <c r="I37" s="107">
        <v>2</v>
      </c>
      <c r="J37" s="368">
        <f t="shared" si="0"/>
        <v>32.81</v>
      </c>
    </row>
    <row r="38" spans="1:10">
      <c r="A38" s="359"/>
      <c r="B38" s="107"/>
      <c r="C38" s="362" t="s">
        <v>402</v>
      </c>
      <c r="D38" s="77"/>
      <c r="E38" s="360"/>
      <c r="F38" s="356">
        <v>8</v>
      </c>
      <c r="G38" s="356">
        <v>1.7</v>
      </c>
      <c r="H38" s="115">
        <v>5</v>
      </c>
      <c r="I38" s="107">
        <v>2</v>
      </c>
      <c r="J38" s="368">
        <f t="shared" si="0"/>
        <v>44.2</v>
      </c>
    </row>
    <row r="39" spans="1:10">
      <c r="A39" s="359"/>
      <c r="B39" s="107"/>
      <c r="C39" s="362" t="s">
        <v>403</v>
      </c>
      <c r="D39" s="77"/>
      <c r="E39" s="360"/>
      <c r="F39" s="356">
        <v>8</v>
      </c>
      <c r="G39" s="356">
        <v>1.7</v>
      </c>
      <c r="H39" s="115">
        <v>5</v>
      </c>
      <c r="I39" s="107">
        <v>2</v>
      </c>
      <c r="J39" s="368">
        <f t="shared" si="0"/>
        <v>44.2</v>
      </c>
    </row>
    <row r="40" spans="1:10">
      <c r="A40" s="359"/>
      <c r="B40" s="107"/>
      <c r="C40" s="362" t="s">
        <v>404</v>
      </c>
      <c r="D40" s="77"/>
      <c r="E40" s="360"/>
      <c r="F40" s="356">
        <v>3.5</v>
      </c>
      <c r="G40" s="356">
        <v>1.7</v>
      </c>
      <c r="H40" s="115">
        <v>5</v>
      </c>
      <c r="I40" s="107">
        <v>2</v>
      </c>
      <c r="J40" s="368">
        <f t="shared" si="0"/>
        <v>28.9</v>
      </c>
    </row>
    <row r="41" spans="1:10">
      <c r="A41" s="359"/>
      <c r="B41" s="107"/>
      <c r="C41" s="362" t="s">
        <v>405</v>
      </c>
      <c r="D41" s="77"/>
      <c r="E41" s="360"/>
      <c r="F41" s="356">
        <v>3.8</v>
      </c>
      <c r="G41" s="356">
        <v>1.7</v>
      </c>
      <c r="H41" s="115">
        <v>3</v>
      </c>
      <c r="I41" s="107">
        <v>2</v>
      </c>
      <c r="J41" s="368">
        <f t="shared" si="0"/>
        <v>23.12</v>
      </c>
    </row>
    <row r="42" spans="1:10">
      <c r="A42" s="359"/>
      <c r="B42" s="107"/>
      <c r="C42" s="362" t="s">
        <v>406</v>
      </c>
      <c r="D42" s="77"/>
      <c r="E42" s="360"/>
      <c r="F42" s="356">
        <v>24.45</v>
      </c>
      <c r="G42" s="356">
        <v>1.7</v>
      </c>
      <c r="H42" s="115">
        <v>1.6</v>
      </c>
      <c r="I42" s="107">
        <v>2</v>
      </c>
      <c r="J42" s="368">
        <f t="shared" si="0"/>
        <v>88.57</v>
      </c>
    </row>
    <row r="43" spans="1:10">
      <c r="A43" s="359"/>
      <c r="B43" s="107"/>
      <c r="C43" s="363" t="s">
        <v>407</v>
      </c>
      <c r="D43" s="77"/>
      <c r="E43" s="360"/>
      <c r="F43" s="356">
        <v>24.6</v>
      </c>
      <c r="G43" s="356">
        <v>1.7</v>
      </c>
      <c r="H43" s="107"/>
      <c r="I43" s="107">
        <v>2</v>
      </c>
      <c r="J43" s="368">
        <f t="shared" si="0"/>
        <v>83.64</v>
      </c>
    </row>
    <row r="44" spans="1:10">
      <c r="A44" s="359"/>
      <c r="B44" s="107"/>
      <c r="C44" s="362" t="s">
        <v>408</v>
      </c>
      <c r="D44" s="77"/>
      <c r="E44" s="360"/>
      <c r="F44" s="356">
        <v>12</v>
      </c>
      <c r="G44" s="356">
        <v>1.7</v>
      </c>
      <c r="H44" s="107"/>
      <c r="I44" s="107">
        <v>2</v>
      </c>
      <c r="J44" s="368">
        <f t="shared" si="0"/>
        <v>40.8</v>
      </c>
    </row>
    <row r="45" spans="1:10">
      <c r="A45" s="359"/>
      <c r="B45" s="107"/>
      <c r="C45" s="363" t="s">
        <v>409</v>
      </c>
      <c r="D45" s="77"/>
      <c r="E45" s="360"/>
      <c r="F45" s="356">
        <v>30</v>
      </c>
      <c r="G45" s="356">
        <v>1.7</v>
      </c>
      <c r="H45" s="107"/>
      <c r="I45" s="107">
        <v>1</v>
      </c>
      <c r="J45" s="368">
        <f t="shared" si="0"/>
        <v>51</v>
      </c>
    </row>
    <row r="46" spans="1:10">
      <c r="A46" s="359"/>
      <c r="B46" s="107"/>
      <c r="C46" s="362" t="s">
        <v>410</v>
      </c>
      <c r="D46" s="77"/>
      <c r="E46" s="360"/>
      <c r="F46" s="356">
        <v>21.75</v>
      </c>
      <c r="G46" s="356">
        <v>1.7</v>
      </c>
      <c r="H46" s="107"/>
      <c r="I46" s="107">
        <v>1</v>
      </c>
      <c r="J46" s="368">
        <f t="shared" si="0"/>
        <v>36.975</v>
      </c>
    </row>
    <row r="47" spans="1:10">
      <c r="A47" s="359"/>
      <c r="B47" s="107"/>
      <c r="C47" s="362" t="s">
        <v>411</v>
      </c>
      <c r="D47" s="77"/>
      <c r="E47" s="360"/>
      <c r="F47" s="356">
        <v>22</v>
      </c>
      <c r="G47" s="356">
        <v>1.7</v>
      </c>
      <c r="H47" s="107"/>
      <c r="I47" s="107">
        <v>1</v>
      </c>
      <c r="J47" s="368">
        <f t="shared" si="0"/>
        <v>37.4</v>
      </c>
    </row>
    <row r="48" spans="1:10">
      <c r="A48" s="359"/>
      <c r="B48" s="107"/>
      <c r="C48" s="363" t="s">
        <v>412</v>
      </c>
      <c r="D48" s="77"/>
      <c r="E48" s="360"/>
      <c r="F48" s="356">
        <v>14</v>
      </c>
      <c r="G48" s="356">
        <v>1.7</v>
      </c>
      <c r="H48" s="107"/>
      <c r="I48" s="107">
        <v>1</v>
      </c>
      <c r="J48" s="368">
        <f t="shared" si="0"/>
        <v>23.8</v>
      </c>
    </row>
    <row r="49" spans="1:10">
      <c r="A49" s="361" t="s">
        <v>99</v>
      </c>
      <c r="B49" s="107" t="str">
        <f>'ORÇAMENTO BÁSICO'!B27</f>
        <v>03.01.210 (EMLURB - 07/2018)</v>
      </c>
      <c r="C49" s="108" t="str">
        <f>'ORÇAMENTO BÁSICO'!C27</f>
        <v>DEMOLICAO MANUAL DE CONCRETO ARMADO. </v>
      </c>
      <c r="D49" s="77" t="s">
        <v>66</v>
      </c>
      <c r="E49" s="360">
        <f>J49</f>
        <v>1.62</v>
      </c>
      <c r="F49" s="356">
        <v>0.3</v>
      </c>
      <c r="G49" s="115">
        <v>4.5</v>
      </c>
      <c r="H49" s="356">
        <v>0.3</v>
      </c>
      <c r="I49" s="107">
        <v>4</v>
      </c>
      <c r="J49" s="368">
        <f>F49*G49*H49*I49</f>
        <v>1.62</v>
      </c>
    </row>
    <row r="50" spans="1:10">
      <c r="A50" s="361" t="s">
        <v>102</v>
      </c>
      <c r="B50" s="107" t="str">
        <f>'ORÇAMENTO BÁSICO'!B28</f>
        <v>COMPOSIÇÃO 1</v>
      </c>
      <c r="C50" s="108" t="str">
        <f>'ORÇAMENTO BÁSICO'!C28</f>
        <v>RETIRADA DE POSTE DE CONCRETO 100/8</v>
      </c>
      <c r="D50" s="77" t="s">
        <v>105</v>
      </c>
      <c r="E50" s="360">
        <f>J50</f>
        <v>5</v>
      </c>
      <c r="F50" s="115"/>
      <c r="G50" s="107"/>
      <c r="H50" s="115"/>
      <c r="I50" s="107">
        <v>1</v>
      </c>
      <c r="J50" s="368">
        <v>5</v>
      </c>
    </row>
    <row r="51" ht="31.5" spans="1:10">
      <c r="A51" s="361" t="s">
        <v>106</v>
      </c>
      <c r="B51" s="90" t="str">
        <f>'ORÇAMENTO BÁSICO'!B29</f>
        <v>05.01.010 (EMLURB - 07/2018)</v>
      </c>
      <c r="C51" s="91" t="str">
        <f>'ORÇAMENTO BÁSICO'!C29</f>
        <v>ESCAVACAO MANUAL EM TERRA ATE 1,50 M DE PROFUNDIDADE, SEM ESCORAMENTO (PARA ESTUDO DE VAZÃO DO LENÇOL FREÁTICO).</v>
      </c>
      <c r="D51" s="77" t="s">
        <v>66</v>
      </c>
      <c r="E51" s="360">
        <f>J51</f>
        <v>1.5</v>
      </c>
      <c r="F51" s="115">
        <v>1</v>
      </c>
      <c r="G51" s="107">
        <v>1.5</v>
      </c>
      <c r="H51" s="115">
        <v>1</v>
      </c>
      <c r="I51" s="107"/>
      <c r="J51" s="368">
        <f>F51*G51*H51</f>
        <v>1.5</v>
      </c>
    </row>
    <row r="52" ht="33" customHeight="1" spans="1:10">
      <c r="A52" s="361" t="s">
        <v>109</v>
      </c>
      <c r="B52" s="90" t="str">
        <f>'ORÇAMENTO BÁSICO'!B30</f>
        <v>04.03.170 (EMLURB - 07/2018)</v>
      </c>
      <c r="C52" s="104" t="str">
        <f>'ORÇAMENTO BÁSICO'!C30</f>
        <v>REMOCAO DE METRALHA EM CAMINHAO BASCULANTE, D.M.T 6 KM, INCLUSIVE CARGA E DESCARGA MECANICAS. </v>
      </c>
      <c r="D52" s="77" t="s">
        <v>66</v>
      </c>
      <c r="E52" s="360">
        <f>TRUNC(J62,2)</f>
        <v>87.54</v>
      </c>
      <c r="F52" s="115"/>
      <c r="G52" s="107"/>
      <c r="H52" s="115"/>
      <c r="I52" s="107"/>
      <c r="J52" s="368"/>
    </row>
    <row r="53" ht="15" customHeight="1" spans="1:10">
      <c r="A53" s="361"/>
      <c r="B53" s="90"/>
      <c r="C53" s="363" t="s">
        <v>413</v>
      </c>
      <c r="D53" s="77"/>
      <c r="E53" s="360"/>
      <c r="F53" s="115">
        <f>E23</f>
        <v>272.8</v>
      </c>
      <c r="G53" s="107">
        <v>0.1</v>
      </c>
      <c r="H53" s="115"/>
      <c r="I53" s="369">
        <v>0.5</v>
      </c>
      <c r="J53" s="368">
        <f>F53*G53*I53</f>
        <v>13.64</v>
      </c>
    </row>
    <row r="54" ht="15" customHeight="1" spans="1:10">
      <c r="A54" s="361"/>
      <c r="B54" s="90"/>
      <c r="C54" s="363" t="s">
        <v>414</v>
      </c>
      <c r="D54" s="77"/>
      <c r="E54" s="360"/>
      <c r="F54" s="115">
        <f>E25</f>
        <v>172.8</v>
      </c>
      <c r="G54" s="107">
        <v>0.1</v>
      </c>
      <c r="H54" s="115"/>
      <c r="I54" s="107"/>
      <c r="J54" s="368">
        <f t="shared" ref="J54:J59" si="1">F54*G54</f>
        <v>17.28</v>
      </c>
    </row>
    <row r="55" ht="15" customHeight="1" spans="1:10">
      <c r="A55" s="361"/>
      <c r="B55" s="90"/>
      <c r="C55" s="363" t="s">
        <v>415</v>
      </c>
      <c r="D55" s="77"/>
      <c r="E55" s="360"/>
      <c r="F55" s="115">
        <f>E29</f>
        <v>391.5</v>
      </c>
      <c r="G55" s="107">
        <v>0.03</v>
      </c>
      <c r="H55" s="115"/>
      <c r="I55" s="107"/>
      <c r="J55" s="368">
        <f t="shared" si="1"/>
        <v>11.745</v>
      </c>
    </row>
    <row r="56" ht="15" customHeight="1" spans="1:10">
      <c r="A56" s="361"/>
      <c r="B56" s="90"/>
      <c r="C56" s="363" t="s">
        <v>416</v>
      </c>
      <c r="D56" s="77"/>
      <c r="E56" s="360"/>
      <c r="F56" s="115">
        <f>E30</f>
        <v>39</v>
      </c>
      <c r="G56" s="107">
        <v>0.1</v>
      </c>
      <c r="H56" s="115"/>
      <c r="I56" s="107"/>
      <c r="J56" s="368">
        <f t="shared" si="1"/>
        <v>3.9</v>
      </c>
    </row>
    <row r="57" ht="15" customHeight="1" spans="1:10">
      <c r="A57" s="361"/>
      <c r="B57" s="90"/>
      <c r="C57" s="363" t="s">
        <v>417</v>
      </c>
      <c r="D57" s="77"/>
      <c r="E57" s="360"/>
      <c r="F57" s="115">
        <f>E31</f>
        <v>52.5</v>
      </c>
      <c r="G57" s="107">
        <v>0.03</v>
      </c>
      <c r="H57" s="115"/>
      <c r="I57" s="107"/>
      <c r="J57" s="368">
        <f t="shared" si="1"/>
        <v>1.575</v>
      </c>
    </row>
    <row r="58" ht="15" customHeight="1" spans="1:10">
      <c r="A58" s="361"/>
      <c r="B58" s="90"/>
      <c r="C58" s="363" t="s">
        <v>418</v>
      </c>
      <c r="D58" s="77"/>
      <c r="E58" s="360"/>
      <c r="F58" s="115">
        <f>E32</f>
        <v>55</v>
      </c>
      <c r="G58" s="107">
        <v>0.03</v>
      </c>
      <c r="H58" s="115"/>
      <c r="I58" s="107"/>
      <c r="J58" s="368">
        <f t="shared" si="1"/>
        <v>1.65</v>
      </c>
    </row>
    <row r="59" ht="15" customHeight="1" spans="1:10">
      <c r="A59" s="361"/>
      <c r="B59" s="90"/>
      <c r="C59" s="363" t="s">
        <v>419</v>
      </c>
      <c r="D59" s="77"/>
      <c r="E59" s="360"/>
      <c r="F59" s="115">
        <f>E33</f>
        <v>668.01</v>
      </c>
      <c r="G59" s="107">
        <v>0.03</v>
      </c>
      <c r="H59" s="115"/>
      <c r="I59" s="107"/>
      <c r="J59" s="368">
        <f t="shared" si="1"/>
        <v>20.0403</v>
      </c>
    </row>
    <row r="60" ht="15" customHeight="1" spans="1:10">
      <c r="A60" s="361"/>
      <c r="B60" s="90"/>
      <c r="C60" s="363" t="s">
        <v>420</v>
      </c>
      <c r="D60" s="77"/>
      <c r="E60" s="360"/>
      <c r="F60" s="115">
        <f>E49</f>
        <v>1.62</v>
      </c>
      <c r="G60" s="107"/>
      <c r="H60" s="115"/>
      <c r="I60" s="107"/>
      <c r="J60" s="368">
        <f>F60</f>
        <v>1.62</v>
      </c>
    </row>
    <row r="61" ht="15" customHeight="1" spans="1:10">
      <c r="A61" s="361"/>
      <c r="B61" s="90"/>
      <c r="C61" s="363" t="s">
        <v>421</v>
      </c>
      <c r="D61" s="77"/>
      <c r="E61" s="360"/>
      <c r="F61" s="115">
        <f>E51</f>
        <v>1.5</v>
      </c>
      <c r="G61" s="107"/>
      <c r="H61" s="115"/>
      <c r="I61" s="107"/>
      <c r="J61" s="368">
        <f>F61</f>
        <v>1.5</v>
      </c>
    </row>
    <row r="62" ht="15" customHeight="1" spans="1:10">
      <c r="A62" s="361"/>
      <c r="B62" s="90"/>
      <c r="C62" s="363" t="s">
        <v>422</v>
      </c>
      <c r="D62" s="364"/>
      <c r="E62" s="365"/>
      <c r="F62" s="115">
        <f>SUM(J53:J61)</f>
        <v>72.9503</v>
      </c>
      <c r="G62" s="107"/>
      <c r="H62" s="115"/>
      <c r="I62" s="369">
        <v>0.2</v>
      </c>
      <c r="J62" s="368">
        <f>(F62*I62)+F62</f>
        <v>87.54036</v>
      </c>
    </row>
    <row r="63" ht="31.5" spans="1:10">
      <c r="A63" s="361" t="s">
        <v>112</v>
      </c>
      <c r="B63" s="90" t="str">
        <f>'ORÇAMENTO BÁSICO'!B31</f>
        <v>COMPOSIÇÃO CAMINHÃO LIMPA FOSSA</v>
      </c>
      <c r="C63" s="91" t="str">
        <f>'ORÇAMENTO BÁSICO'!C31</f>
        <v>CAMINHÃO COMBINADO HIDROJATO - Desobstrução e limpeza mecanizada de microdrenagem  através da utilização de caminhões de alta pressão.(COMP LIMPA FOSSA)</v>
      </c>
      <c r="D63" s="96" t="s">
        <v>423</v>
      </c>
      <c r="E63" s="360">
        <f>J63</f>
        <v>0.5</v>
      </c>
      <c r="F63" s="115"/>
      <c r="G63" s="107"/>
      <c r="H63" s="115"/>
      <c r="I63" s="107"/>
      <c r="J63" s="368">
        <v>0.5</v>
      </c>
    </row>
    <row r="64" ht="9" customHeight="1" spans="1:10">
      <c r="A64" s="359"/>
      <c r="B64" s="90"/>
      <c r="C64" s="91"/>
      <c r="D64" s="89"/>
      <c r="E64" s="360"/>
      <c r="F64" s="115"/>
      <c r="G64" s="107"/>
      <c r="H64" s="115"/>
      <c r="I64" s="107"/>
      <c r="J64" s="368"/>
    </row>
    <row r="65" ht="31.5" customHeight="1" spans="1:10">
      <c r="A65" s="351" t="s">
        <v>16</v>
      </c>
      <c r="B65" s="352" t="s">
        <v>115</v>
      </c>
      <c r="C65" s="352"/>
      <c r="D65" s="352"/>
      <c r="E65" s="352"/>
      <c r="F65" s="352"/>
      <c r="G65" s="352"/>
      <c r="H65" s="352"/>
      <c r="I65" s="352"/>
      <c r="J65" s="352"/>
    </row>
    <row r="66" spans="1:10">
      <c r="A66" s="370" t="s">
        <v>116</v>
      </c>
      <c r="B66" s="90" t="str">
        <f>'ORÇAMENTO BÁSICO'!B34</f>
        <v>11.02.010 (EMLURB - 07/2018)</v>
      </c>
      <c r="C66" s="91" t="str">
        <f>'ORÇAMENTO BÁSICO'!C34</f>
        <v>CHAPISCO COM ARGAMASSA DE CIMENTO E AREIA NO TRACO 1 3. </v>
      </c>
      <c r="D66" s="96" t="s">
        <v>56</v>
      </c>
      <c r="E66" s="360">
        <f>TRUNC(SUM(J67:J84),2)</f>
        <v>825.49</v>
      </c>
      <c r="F66" s="115"/>
      <c r="G66" s="107"/>
      <c r="H66" s="115"/>
      <c r="I66" s="107"/>
      <c r="J66" s="368"/>
    </row>
    <row r="67" spans="1:10">
      <c r="A67" s="359"/>
      <c r="B67" s="90"/>
      <c r="C67" s="362" t="s">
        <v>398</v>
      </c>
      <c r="D67" s="96"/>
      <c r="E67" s="360"/>
      <c r="F67" s="356">
        <v>8</v>
      </c>
      <c r="G67" s="356">
        <v>1.8</v>
      </c>
      <c r="H67" s="115">
        <v>5</v>
      </c>
      <c r="I67" s="107">
        <v>2</v>
      </c>
      <c r="J67" s="368">
        <f t="shared" ref="J67:J74" si="2">((H67+F67)*I67)*G67</f>
        <v>46.8</v>
      </c>
    </row>
    <row r="68" spans="1:10">
      <c r="A68" s="359"/>
      <c r="B68" s="90"/>
      <c r="C68" s="362" t="s">
        <v>399</v>
      </c>
      <c r="D68" s="96"/>
      <c r="E68" s="360"/>
      <c r="F68" s="356">
        <v>8</v>
      </c>
      <c r="G68" s="356">
        <v>1.8</v>
      </c>
      <c r="H68" s="115">
        <v>5</v>
      </c>
      <c r="I68" s="107">
        <v>2</v>
      </c>
      <c r="J68" s="368">
        <f t="shared" si="2"/>
        <v>46.8</v>
      </c>
    </row>
    <row r="69" spans="1:10">
      <c r="A69" s="359"/>
      <c r="B69" s="90"/>
      <c r="C69" s="362" t="s">
        <v>400</v>
      </c>
      <c r="D69" s="96"/>
      <c r="E69" s="360"/>
      <c r="F69" s="356">
        <v>8</v>
      </c>
      <c r="G69" s="356">
        <v>1.8</v>
      </c>
      <c r="H69" s="115">
        <v>5</v>
      </c>
      <c r="I69" s="107">
        <v>2</v>
      </c>
      <c r="J69" s="368">
        <f t="shared" si="2"/>
        <v>46.8</v>
      </c>
    </row>
    <row r="70" spans="1:10">
      <c r="A70" s="359"/>
      <c r="B70" s="90"/>
      <c r="C70" s="362" t="s">
        <v>401</v>
      </c>
      <c r="D70" s="96"/>
      <c r="E70" s="360"/>
      <c r="F70" s="356">
        <v>4.65</v>
      </c>
      <c r="G70" s="356">
        <v>1.8</v>
      </c>
      <c r="H70" s="115">
        <v>5</v>
      </c>
      <c r="I70" s="107">
        <v>2</v>
      </c>
      <c r="J70" s="368">
        <f t="shared" si="2"/>
        <v>34.74</v>
      </c>
    </row>
    <row r="71" spans="1:10">
      <c r="A71" s="359"/>
      <c r="B71" s="90"/>
      <c r="C71" s="362" t="s">
        <v>402</v>
      </c>
      <c r="D71" s="96"/>
      <c r="E71" s="360"/>
      <c r="F71" s="356">
        <v>8</v>
      </c>
      <c r="G71" s="356">
        <v>1.8</v>
      </c>
      <c r="H71" s="115">
        <v>5</v>
      </c>
      <c r="I71" s="107">
        <v>2</v>
      </c>
      <c r="J71" s="368">
        <f t="shared" si="2"/>
        <v>46.8</v>
      </c>
    </row>
    <row r="72" spans="1:10">
      <c r="A72" s="359"/>
      <c r="B72" s="90"/>
      <c r="C72" s="362" t="s">
        <v>403</v>
      </c>
      <c r="D72" s="96"/>
      <c r="E72" s="360"/>
      <c r="F72" s="356">
        <v>8</v>
      </c>
      <c r="G72" s="356">
        <v>1.8</v>
      </c>
      <c r="H72" s="115">
        <v>5</v>
      </c>
      <c r="I72" s="107">
        <v>2</v>
      </c>
      <c r="J72" s="368">
        <f t="shared" si="2"/>
        <v>46.8</v>
      </c>
    </row>
    <row r="73" spans="1:10">
      <c r="A73" s="359"/>
      <c r="B73" s="90"/>
      <c r="C73" s="362" t="s">
        <v>404</v>
      </c>
      <c r="D73" s="96"/>
      <c r="E73" s="360"/>
      <c r="F73" s="356">
        <v>3.5</v>
      </c>
      <c r="G73" s="356">
        <v>1.8</v>
      </c>
      <c r="H73" s="115">
        <v>5</v>
      </c>
      <c r="I73" s="107">
        <v>2</v>
      </c>
      <c r="J73" s="368">
        <f t="shared" si="2"/>
        <v>30.6</v>
      </c>
    </row>
    <row r="74" spans="1:10">
      <c r="A74" s="359"/>
      <c r="B74" s="90"/>
      <c r="C74" s="362" t="s">
        <v>405</v>
      </c>
      <c r="D74" s="96"/>
      <c r="E74" s="360"/>
      <c r="F74" s="356">
        <v>3.8</v>
      </c>
      <c r="G74" s="356">
        <v>1.8</v>
      </c>
      <c r="H74" s="115">
        <v>3</v>
      </c>
      <c r="I74" s="107">
        <v>2</v>
      </c>
      <c r="J74" s="368">
        <f t="shared" si="2"/>
        <v>24.48</v>
      </c>
    </row>
    <row r="75" spans="1:10">
      <c r="A75" s="359"/>
      <c r="B75" s="90"/>
      <c r="C75" s="362" t="s">
        <v>424</v>
      </c>
      <c r="D75" s="96"/>
      <c r="E75" s="360"/>
      <c r="F75" s="356">
        <v>8</v>
      </c>
      <c r="G75" s="356">
        <v>1.8</v>
      </c>
      <c r="H75" s="115"/>
      <c r="I75" s="107">
        <v>5</v>
      </c>
      <c r="J75" s="368">
        <f>F75*G75*I75</f>
        <v>72</v>
      </c>
    </row>
    <row r="76" spans="1:10">
      <c r="A76" s="359"/>
      <c r="B76" s="90"/>
      <c r="C76" s="362" t="s">
        <v>406</v>
      </c>
      <c r="D76" s="96"/>
      <c r="E76" s="360"/>
      <c r="F76" s="356">
        <v>24.45</v>
      </c>
      <c r="G76" s="356">
        <v>1.8</v>
      </c>
      <c r="H76" s="115">
        <v>1.58</v>
      </c>
      <c r="I76" s="107">
        <v>2</v>
      </c>
      <c r="J76" s="368">
        <f t="shared" ref="J76:J84" si="3">((H76+F76)*I76)*G76</f>
        <v>93.708</v>
      </c>
    </row>
    <row r="77" spans="1:10">
      <c r="A77" s="359"/>
      <c r="B77" s="90"/>
      <c r="C77" s="363" t="s">
        <v>407</v>
      </c>
      <c r="D77" s="96"/>
      <c r="E77" s="360"/>
      <c r="F77" s="356">
        <v>24.6</v>
      </c>
      <c r="G77" s="356">
        <v>1.8</v>
      </c>
      <c r="H77" s="107"/>
      <c r="I77" s="107">
        <v>2</v>
      </c>
      <c r="J77" s="368">
        <f t="shared" si="3"/>
        <v>88.56</v>
      </c>
    </row>
    <row r="78" spans="1:10">
      <c r="A78" s="359"/>
      <c r="B78" s="90"/>
      <c r="C78" s="362" t="s">
        <v>408</v>
      </c>
      <c r="D78" s="96"/>
      <c r="E78" s="360"/>
      <c r="F78" s="356">
        <v>12</v>
      </c>
      <c r="G78" s="356">
        <v>1.8</v>
      </c>
      <c r="H78" s="107"/>
      <c r="I78" s="107">
        <v>2</v>
      </c>
      <c r="J78" s="368">
        <f t="shared" si="3"/>
        <v>43.2</v>
      </c>
    </row>
    <row r="79" spans="1:10">
      <c r="A79" s="359"/>
      <c r="B79" s="90"/>
      <c r="C79" s="362" t="s">
        <v>425</v>
      </c>
      <c r="D79" s="96"/>
      <c r="E79" s="360"/>
      <c r="F79" s="356">
        <v>2.95</v>
      </c>
      <c r="G79" s="356">
        <v>1.8</v>
      </c>
      <c r="H79" s="115">
        <v>3</v>
      </c>
      <c r="I79" s="107">
        <v>2</v>
      </c>
      <c r="J79" s="368">
        <f t="shared" si="3"/>
        <v>21.42</v>
      </c>
    </row>
    <row r="80" spans="1:10">
      <c r="A80" s="359"/>
      <c r="B80" s="90"/>
      <c r="C80" s="362" t="s">
        <v>426</v>
      </c>
      <c r="D80" s="96"/>
      <c r="E80" s="360"/>
      <c r="F80" s="356">
        <v>3.9</v>
      </c>
      <c r="G80" s="356">
        <v>1.8</v>
      </c>
      <c r="H80" s="115">
        <v>3</v>
      </c>
      <c r="I80" s="107">
        <v>2</v>
      </c>
      <c r="J80" s="368">
        <f t="shared" si="3"/>
        <v>24.84</v>
      </c>
    </row>
    <row r="81" spans="1:10">
      <c r="A81" s="359"/>
      <c r="B81" s="90"/>
      <c r="C81" s="363" t="s">
        <v>409</v>
      </c>
      <c r="D81" s="96"/>
      <c r="E81" s="360"/>
      <c r="F81" s="356">
        <v>30</v>
      </c>
      <c r="G81" s="356">
        <v>1.8</v>
      </c>
      <c r="H81" s="107"/>
      <c r="I81" s="107">
        <v>1</v>
      </c>
      <c r="J81" s="368">
        <f t="shared" si="3"/>
        <v>54</v>
      </c>
    </row>
    <row r="82" spans="1:10">
      <c r="A82" s="359"/>
      <c r="B82" s="90"/>
      <c r="C82" s="362" t="s">
        <v>410</v>
      </c>
      <c r="D82" s="96"/>
      <c r="E82" s="360"/>
      <c r="F82" s="356">
        <v>21.75</v>
      </c>
      <c r="G82" s="356">
        <v>1.8</v>
      </c>
      <c r="H82" s="107"/>
      <c r="I82" s="107">
        <v>1</v>
      </c>
      <c r="J82" s="368">
        <f t="shared" si="3"/>
        <v>39.15</v>
      </c>
    </row>
    <row r="83" spans="1:10">
      <c r="A83" s="359"/>
      <c r="B83" s="90"/>
      <c r="C83" s="362" t="s">
        <v>411</v>
      </c>
      <c r="D83" s="96"/>
      <c r="E83" s="360"/>
      <c r="F83" s="356">
        <v>22</v>
      </c>
      <c r="G83" s="356">
        <v>1.8</v>
      </c>
      <c r="H83" s="107"/>
      <c r="I83" s="107">
        <v>1</v>
      </c>
      <c r="J83" s="368">
        <f t="shared" si="3"/>
        <v>39.6</v>
      </c>
    </row>
    <row r="84" spans="1:10">
      <c r="A84" s="359"/>
      <c r="B84" s="90"/>
      <c r="C84" s="363" t="s">
        <v>412</v>
      </c>
      <c r="D84" s="96"/>
      <c r="E84" s="360"/>
      <c r="F84" s="356">
        <v>14</v>
      </c>
      <c r="G84" s="356">
        <v>1.8</v>
      </c>
      <c r="H84" s="107"/>
      <c r="I84" s="107">
        <v>1</v>
      </c>
      <c r="J84" s="368">
        <f t="shared" si="3"/>
        <v>25.2</v>
      </c>
    </row>
    <row r="85" ht="31.5" spans="1:10">
      <c r="A85" s="370" t="s">
        <v>119</v>
      </c>
      <c r="B85" s="90" t="str">
        <f>'ORÇAMENTO BÁSICO'!B35</f>
        <v>11.04.040 (EMLURB - 07/2018)</v>
      </c>
      <c r="C85" s="91" t="str">
        <f>'ORÇAMENTO BÁSICO'!C35</f>
        <v>REBOCO COM ARGAMASSA DE CAL HIDRATADA E AREIA NO TRACO 1:2, COM 5,0 MM DE ESPESSURA.</v>
      </c>
      <c r="D85" s="96" t="s">
        <v>56</v>
      </c>
      <c r="E85" s="360">
        <f>J85</f>
        <v>50</v>
      </c>
      <c r="F85" s="115">
        <v>5</v>
      </c>
      <c r="G85" s="107"/>
      <c r="H85" s="115">
        <v>10</v>
      </c>
      <c r="I85" s="107"/>
      <c r="J85" s="368">
        <f>F85*H85</f>
        <v>50</v>
      </c>
    </row>
    <row r="86" ht="31.5" spans="1:10">
      <c r="A86" s="370" t="s">
        <v>122</v>
      </c>
      <c r="B86" s="90" t="str">
        <f>'ORÇAMENTO BÁSICO'!B36</f>
        <v>11.03.010 (EMLURB - 07/2018)</v>
      </c>
      <c r="C86" s="91" t="str">
        <f>'ORÇAMENTO BÁSICO'!C36</f>
        <v>EMBOCO COM ARGAMASSA DE CAL PRETA EM PASTA E AREIA NO TRACO 1 4 , DOSADA COM 110 KG DE CIMENTO, COM 2,0 CM DE ESPESSURA.</v>
      </c>
      <c r="D86" s="96" t="s">
        <v>56</v>
      </c>
      <c r="E86" s="360">
        <v>825.49</v>
      </c>
      <c r="F86" s="115"/>
      <c r="G86" s="107"/>
      <c r="H86" s="115"/>
      <c r="I86" s="107"/>
      <c r="J86" s="368"/>
    </row>
    <row r="87" spans="1:10">
      <c r="A87" s="359"/>
      <c r="B87" s="90"/>
      <c r="C87" s="362" t="s">
        <v>398</v>
      </c>
      <c r="D87" s="96"/>
      <c r="E87" s="360"/>
      <c r="F87" s="356">
        <v>8</v>
      </c>
      <c r="G87" s="356">
        <v>1.8</v>
      </c>
      <c r="H87" s="115">
        <v>5</v>
      </c>
      <c r="I87" s="107">
        <v>2</v>
      </c>
      <c r="J87" s="368">
        <f t="shared" ref="J87:J94" si="4">((H87+F87)*I87)*G87</f>
        <v>46.8</v>
      </c>
    </row>
    <row r="88" spans="1:10">
      <c r="A88" s="359"/>
      <c r="B88" s="90"/>
      <c r="C88" s="362" t="s">
        <v>399</v>
      </c>
      <c r="D88" s="96"/>
      <c r="E88" s="360"/>
      <c r="F88" s="356">
        <v>8</v>
      </c>
      <c r="G88" s="356">
        <v>1.8</v>
      </c>
      <c r="H88" s="115">
        <v>5</v>
      </c>
      <c r="I88" s="107">
        <v>2</v>
      </c>
      <c r="J88" s="368">
        <f t="shared" si="4"/>
        <v>46.8</v>
      </c>
    </row>
    <row r="89" spans="1:10">
      <c r="A89" s="359"/>
      <c r="B89" s="90"/>
      <c r="C89" s="362" t="s">
        <v>400</v>
      </c>
      <c r="D89" s="96"/>
      <c r="E89" s="360"/>
      <c r="F89" s="356">
        <v>8</v>
      </c>
      <c r="G89" s="356">
        <v>1.8</v>
      </c>
      <c r="H89" s="115">
        <v>5</v>
      </c>
      <c r="I89" s="107">
        <v>2</v>
      </c>
      <c r="J89" s="368">
        <f t="shared" si="4"/>
        <v>46.8</v>
      </c>
    </row>
    <row r="90" spans="1:10">
      <c r="A90" s="359"/>
      <c r="B90" s="90"/>
      <c r="C90" s="362" t="s">
        <v>401</v>
      </c>
      <c r="D90" s="96"/>
      <c r="E90" s="360"/>
      <c r="F90" s="356">
        <v>4.65</v>
      </c>
      <c r="G90" s="356">
        <v>1.8</v>
      </c>
      <c r="H90" s="115">
        <v>5</v>
      </c>
      <c r="I90" s="107">
        <v>2</v>
      </c>
      <c r="J90" s="368">
        <f t="shared" si="4"/>
        <v>34.74</v>
      </c>
    </row>
    <row r="91" spans="1:10">
      <c r="A91" s="359"/>
      <c r="B91" s="90"/>
      <c r="C91" s="362" t="s">
        <v>402</v>
      </c>
      <c r="D91" s="96"/>
      <c r="E91" s="360"/>
      <c r="F91" s="356">
        <v>8</v>
      </c>
      <c r="G91" s="356">
        <v>1.8</v>
      </c>
      <c r="H91" s="115">
        <v>5</v>
      </c>
      <c r="I91" s="107">
        <v>2</v>
      </c>
      <c r="J91" s="368">
        <f t="shared" si="4"/>
        <v>46.8</v>
      </c>
    </row>
    <row r="92" spans="1:10">
      <c r="A92" s="359"/>
      <c r="B92" s="90"/>
      <c r="C92" s="362" t="s">
        <v>403</v>
      </c>
      <c r="D92" s="96"/>
      <c r="E92" s="360"/>
      <c r="F92" s="356">
        <v>8</v>
      </c>
      <c r="G92" s="356">
        <v>1.8</v>
      </c>
      <c r="H92" s="115">
        <v>5</v>
      </c>
      <c r="I92" s="107">
        <v>2</v>
      </c>
      <c r="J92" s="368">
        <f t="shared" si="4"/>
        <v>46.8</v>
      </c>
    </row>
    <row r="93" spans="1:10">
      <c r="A93" s="359"/>
      <c r="B93" s="90"/>
      <c r="C93" s="362" t="s">
        <v>404</v>
      </c>
      <c r="D93" s="96"/>
      <c r="E93" s="360"/>
      <c r="F93" s="356">
        <v>3.5</v>
      </c>
      <c r="G93" s="356">
        <v>1.8</v>
      </c>
      <c r="H93" s="115">
        <v>5</v>
      </c>
      <c r="I93" s="107">
        <v>2</v>
      </c>
      <c r="J93" s="368">
        <f t="shared" si="4"/>
        <v>30.6</v>
      </c>
    </row>
    <row r="94" spans="1:10">
      <c r="A94" s="359"/>
      <c r="B94" s="90"/>
      <c r="C94" s="362" t="s">
        <v>405</v>
      </c>
      <c r="D94" s="96"/>
      <c r="E94" s="360"/>
      <c r="F94" s="356">
        <v>3.8</v>
      </c>
      <c r="G94" s="356">
        <v>1.8</v>
      </c>
      <c r="H94" s="115">
        <v>3</v>
      </c>
      <c r="I94" s="107">
        <v>2</v>
      </c>
      <c r="J94" s="368">
        <f t="shared" si="4"/>
        <v>24.48</v>
      </c>
    </row>
    <row r="95" spans="1:10">
      <c r="A95" s="359"/>
      <c r="B95" s="90"/>
      <c r="C95" s="362" t="s">
        <v>424</v>
      </c>
      <c r="D95" s="96"/>
      <c r="E95" s="360"/>
      <c r="F95" s="356">
        <v>8</v>
      </c>
      <c r="G95" s="356">
        <v>1.8</v>
      </c>
      <c r="H95" s="115"/>
      <c r="I95" s="107">
        <v>5</v>
      </c>
      <c r="J95" s="368">
        <f>F95*G95*I95</f>
        <v>72</v>
      </c>
    </row>
    <row r="96" spans="1:10">
      <c r="A96" s="359"/>
      <c r="B96" s="90"/>
      <c r="C96" s="362" t="s">
        <v>406</v>
      </c>
      <c r="D96" s="96"/>
      <c r="E96" s="360"/>
      <c r="F96" s="356">
        <v>24.45</v>
      </c>
      <c r="G96" s="356">
        <v>1.8</v>
      </c>
      <c r="H96" s="115">
        <v>1.58</v>
      </c>
      <c r="I96" s="107">
        <v>2</v>
      </c>
      <c r="J96" s="368">
        <f t="shared" ref="J96:J104" si="5">((H96+F96)*I96)*G96</f>
        <v>93.708</v>
      </c>
    </row>
    <row r="97" spans="1:10">
      <c r="A97" s="359"/>
      <c r="B97" s="90"/>
      <c r="C97" s="363" t="s">
        <v>407</v>
      </c>
      <c r="D97" s="96"/>
      <c r="E97" s="360"/>
      <c r="F97" s="356">
        <v>24.6</v>
      </c>
      <c r="G97" s="356">
        <v>1.8</v>
      </c>
      <c r="H97" s="107"/>
      <c r="I97" s="107">
        <v>2</v>
      </c>
      <c r="J97" s="368">
        <f t="shared" si="5"/>
        <v>88.56</v>
      </c>
    </row>
    <row r="98" spans="1:10">
      <c r="A98" s="359"/>
      <c r="B98" s="90"/>
      <c r="C98" s="362" t="s">
        <v>408</v>
      </c>
      <c r="D98" s="96"/>
      <c r="E98" s="360"/>
      <c r="F98" s="356">
        <v>12</v>
      </c>
      <c r="G98" s="356">
        <v>1.8</v>
      </c>
      <c r="H98" s="107"/>
      <c r="I98" s="107">
        <v>2</v>
      </c>
      <c r="J98" s="368">
        <f t="shared" si="5"/>
        <v>43.2</v>
      </c>
    </row>
    <row r="99" spans="1:10">
      <c r="A99" s="359"/>
      <c r="B99" s="90"/>
      <c r="C99" s="362" t="s">
        <v>425</v>
      </c>
      <c r="D99" s="96"/>
      <c r="E99" s="360"/>
      <c r="F99" s="356">
        <v>2.95</v>
      </c>
      <c r="G99" s="356">
        <v>1.8</v>
      </c>
      <c r="H99" s="115">
        <v>3</v>
      </c>
      <c r="I99" s="107">
        <v>2</v>
      </c>
      <c r="J99" s="368">
        <f t="shared" si="5"/>
        <v>21.42</v>
      </c>
    </row>
    <row r="100" spans="1:10">
      <c r="A100" s="359"/>
      <c r="B100" s="90"/>
      <c r="C100" s="362" t="s">
        <v>426</v>
      </c>
      <c r="D100" s="96"/>
      <c r="E100" s="360"/>
      <c r="F100" s="356">
        <v>3.9</v>
      </c>
      <c r="G100" s="356">
        <v>1.8</v>
      </c>
      <c r="H100" s="115">
        <v>3</v>
      </c>
      <c r="I100" s="107">
        <v>2</v>
      </c>
      <c r="J100" s="368">
        <f t="shared" si="5"/>
        <v>24.84</v>
      </c>
    </row>
    <row r="101" spans="1:10">
      <c r="A101" s="359"/>
      <c r="B101" s="90"/>
      <c r="C101" s="363" t="s">
        <v>409</v>
      </c>
      <c r="D101" s="96"/>
      <c r="E101" s="360"/>
      <c r="F101" s="356">
        <v>30</v>
      </c>
      <c r="G101" s="356">
        <v>1.8</v>
      </c>
      <c r="H101" s="107"/>
      <c r="I101" s="107">
        <v>1</v>
      </c>
      <c r="J101" s="368">
        <f t="shared" si="5"/>
        <v>54</v>
      </c>
    </row>
    <row r="102" spans="1:10">
      <c r="A102" s="359"/>
      <c r="B102" s="90"/>
      <c r="C102" s="362" t="s">
        <v>410</v>
      </c>
      <c r="D102" s="96"/>
      <c r="E102" s="360"/>
      <c r="F102" s="356">
        <v>21.75</v>
      </c>
      <c r="G102" s="356">
        <v>1.8</v>
      </c>
      <c r="H102" s="107"/>
      <c r="I102" s="107">
        <v>1</v>
      </c>
      <c r="J102" s="368">
        <f t="shared" si="5"/>
        <v>39.15</v>
      </c>
    </row>
    <row r="103" spans="1:10">
      <c r="A103" s="359"/>
      <c r="B103" s="90"/>
      <c r="C103" s="362" t="s">
        <v>411</v>
      </c>
      <c r="D103" s="96"/>
      <c r="E103" s="360"/>
      <c r="F103" s="356">
        <v>22</v>
      </c>
      <c r="G103" s="356">
        <v>1.8</v>
      </c>
      <c r="H103" s="107"/>
      <c r="I103" s="107">
        <v>1</v>
      </c>
      <c r="J103" s="368">
        <f t="shared" si="5"/>
        <v>39.6</v>
      </c>
    </row>
    <row r="104" spans="1:10">
      <c r="A104" s="359"/>
      <c r="B104" s="90"/>
      <c r="C104" s="363" t="s">
        <v>412</v>
      </c>
      <c r="D104" s="96"/>
      <c r="E104" s="360"/>
      <c r="F104" s="356">
        <v>14</v>
      </c>
      <c r="G104" s="356">
        <v>1.8</v>
      </c>
      <c r="H104" s="107"/>
      <c r="I104" s="107">
        <v>1</v>
      </c>
      <c r="J104" s="368">
        <f t="shared" si="5"/>
        <v>25.2</v>
      </c>
    </row>
    <row r="105" ht="63" spans="1:10">
      <c r="A105" s="370" t="s">
        <v>125</v>
      </c>
      <c r="B105" s="78" t="str">
        <f>'ORÇAMENTO BÁSICO'!B37</f>
        <v>11.06.052 (EMLURB - 07/2018)</v>
      </c>
      <c r="C105" s="371" t="str">
        <f>'ORÇAMENTO BÁSICO'!C37</f>
        <v>REVESTIMENTO EM PAREDE COM CERAMICA ESMALTADA 45X45CM, TIPO A, PEI5, ELIANE,PORTO RICO, SAMARSA, ELIZABETH OU SIMILAR, ASSENTADO COM ARGAMASSA PRE FABRICADA E REJUNTE DA QUARTZOLIT OU SIMILAR (ESPESSURA DA JUNTA DE 6MM) SOBRE EMBOCO PRONTO.</v>
      </c>
      <c r="D105" s="96" t="s">
        <v>56</v>
      </c>
      <c r="E105" s="360">
        <v>825.49</v>
      </c>
      <c r="F105" s="115"/>
      <c r="G105" s="107"/>
      <c r="H105" s="115"/>
      <c r="I105" s="107"/>
      <c r="J105" s="368"/>
    </row>
    <row r="106" spans="1:10">
      <c r="A106" s="359"/>
      <c r="B106" s="90"/>
      <c r="C106" s="362" t="s">
        <v>398</v>
      </c>
      <c r="D106" s="96"/>
      <c r="E106" s="360"/>
      <c r="F106" s="356">
        <v>8</v>
      </c>
      <c r="G106" s="356">
        <v>1.8</v>
      </c>
      <c r="H106" s="115">
        <v>5</v>
      </c>
      <c r="I106" s="107">
        <v>2</v>
      </c>
      <c r="J106" s="368">
        <f t="shared" ref="J106:J113" si="6">((H106+F106)*I106)*G106</f>
        <v>46.8</v>
      </c>
    </row>
    <row r="107" spans="1:10">
      <c r="A107" s="359"/>
      <c r="B107" s="90"/>
      <c r="C107" s="362" t="s">
        <v>399</v>
      </c>
      <c r="D107" s="96"/>
      <c r="E107" s="360"/>
      <c r="F107" s="356">
        <v>8</v>
      </c>
      <c r="G107" s="356">
        <v>1.8</v>
      </c>
      <c r="H107" s="115">
        <v>5</v>
      </c>
      <c r="I107" s="107">
        <v>2</v>
      </c>
      <c r="J107" s="368">
        <f t="shared" si="6"/>
        <v>46.8</v>
      </c>
    </row>
    <row r="108" spans="1:10">
      <c r="A108" s="359"/>
      <c r="B108" s="90"/>
      <c r="C108" s="362" t="s">
        <v>400</v>
      </c>
      <c r="D108" s="96"/>
      <c r="E108" s="360"/>
      <c r="F108" s="356">
        <v>8</v>
      </c>
      <c r="G108" s="356">
        <v>1.8</v>
      </c>
      <c r="H108" s="115">
        <v>5</v>
      </c>
      <c r="I108" s="107">
        <v>2</v>
      </c>
      <c r="J108" s="368">
        <f t="shared" si="6"/>
        <v>46.8</v>
      </c>
    </row>
    <row r="109" spans="1:10">
      <c r="A109" s="359"/>
      <c r="B109" s="90"/>
      <c r="C109" s="362" t="s">
        <v>401</v>
      </c>
      <c r="D109" s="96"/>
      <c r="E109" s="360"/>
      <c r="F109" s="356">
        <v>4.65</v>
      </c>
      <c r="G109" s="356">
        <v>1.8</v>
      </c>
      <c r="H109" s="115">
        <v>5</v>
      </c>
      <c r="I109" s="107">
        <v>2</v>
      </c>
      <c r="J109" s="368">
        <f t="shared" si="6"/>
        <v>34.74</v>
      </c>
    </row>
    <row r="110" spans="1:10">
      <c r="A110" s="359"/>
      <c r="B110" s="90"/>
      <c r="C110" s="362" t="s">
        <v>402</v>
      </c>
      <c r="D110" s="96"/>
      <c r="E110" s="360"/>
      <c r="F110" s="356">
        <v>8</v>
      </c>
      <c r="G110" s="356">
        <v>1.8</v>
      </c>
      <c r="H110" s="115">
        <v>5</v>
      </c>
      <c r="I110" s="107">
        <v>2</v>
      </c>
      <c r="J110" s="368">
        <f t="shared" si="6"/>
        <v>46.8</v>
      </c>
    </row>
    <row r="111" spans="1:10">
      <c r="A111" s="359"/>
      <c r="B111" s="90"/>
      <c r="C111" s="362" t="s">
        <v>403</v>
      </c>
      <c r="D111" s="96"/>
      <c r="E111" s="360"/>
      <c r="F111" s="356">
        <v>8</v>
      </c>
      <c r="G111" s="356">
        <v>1.8</v>
      </c>
      <c r="H111" s="115">
        <v>5</v>
      </c>
      <c r="I111" s="107">
        <v>2</v>
      </c>
      <c r="J111" s="368">
        <f t="shared" si="6"/>
        <v>46.8</v>
      </c>
    </row>
    <row r="112" spans="1:10">
      <c r="A112" s="359"/>
      <c r="B112" s="90"/>
      <c r="C112" s="362" t="s">
        <v>404</v>
      </c>
      <c r="D112" s="96"/>
      <c r="E112" s="360"/>
      <c r="F112" s="356">
        <v>3.5</v>
      </c>
      <c r="G112" s="356">
        <v>1.8</v>
      </c>
      <c r="H112" s="115">
        <v>5</v>
      </c>
      <c r="I112" s="107">
        <v>2</v>
      </c>
      <c r="J112" s="368">
        <f t="shared" si="6"/>
        <v>30.6</v>
      </c>
    </row>
    <row r="113" spans="1:10">
      <c r="A113" s="359"/>
      <c r="B113" s="90"/>
      <c r="C113" s="362" t="s">
        <v>405</v>
      </c>
      <c r="D113" s="96"/>
      <c r="E113" s="360"/>
      <c r="F113" s="356">
        <v>3.8</v>
      </c>
      <c r="G113" s="356">
        <v>1.8</v>
      </c>
      <c r="H113" s="115">
        <v>3</v>
      </c>
      <c r="I113" s="107">
        <v>2</v>
      </c>
      <c r="J113" s="368">
        <f t="shared" si="6"/>
        <v>24.48</v>
      </c>
    </row>
    <row r="114" spans="1:10">
      <c r="A114" s="359"/>
      <c r="B114" s="90"/>
      <c r="C114" s="362" t="s">
        <v>424</v>
      </c>
      <c r="D114" s="96"/>
      <c r="E114" s="360"/>
      <c r="F114" s="356">
        <v>8</v>
      </c>
      <c r="G114" s="356">
        <v>1.8</v>
      </c>
      <c r="H114" s="115"/>
      <c r="I114" s="107">
        <v>5</v>
      </c>
      <c r="J114" s="368">
        <f>F114*G114*I114</f>
        <v>72</v>
      </c>
    </row>
    <row r="115" spans="1:10">
      <c r="A115" s="359"/>
      <c r="B115" s="90"/>
      <c r="C115" s="362" t="s">
        <v>406</v>
      </c>
      <c r="D115" s="96"/>
      <c r="E115" s="360"/>
      <c r="F115" s="356">
        <v>24.45</v>
      </c>
      <c r="G115" s="356">
        <v>1.8</v>
      </c>
      <c r="H115" s="115">
        <v>1.58</v>
      </c>
      <c r="I115" s="107">
        <v>2</v>
      </c>
      <c r="J115" s="368">
        <f t="shared" ref="J115:J123" si="7">((H115+F115)*I115)*G115</f>
        <v>93.708</v>
      </c>
    </row>
    <row r="116" spans="1:10">
      <c r="A116" s="359"/>
      <c r="B116" s="90"/>
      <c r="C116" s="363" t="s">
        <v>407</v>
      </c>
      <c r="D116" s="96"/>
      <c r="E116" s="360"/>
      <c r="F116" s="356">
        <v>24.6</v>
      </c>
      <c r="G116" s="356">
        <v>1.8</v>
      </c>
      <c r="H116" s="107"/>
      <c r="I116" s="107">
        <v>2</v>
      </c>
      <c r="J116" s="368">
        <f t="shared" si="7"/>
        <v>88.56</v>
      </c>
    </row>
    <row r="117" spans="1:10">
      <c r="A117" s="359"/>
      <c r="B117" s="90"/>
      <c r="C117" s="362" t="s">
        <v>408</v>
      </c>
      <c r="D117" s="96"/>
      <c r="E117" s="360"/>
      <c r="F117" s="356">
        <v>12</v>
      </c>
      <c r="G117" s="356">
        <v>1.8</v>
      </c>
      <c r="H117" s="107"/>
      <c r="I117" s="107">
        <v>2</v>
      </c>
      <c r="J117" s="368">
        <f t="shared" si="7"/>
        <v>43.2</v>
      </c>
    </row>
    <row r="118" spans="1:10">
      <c r="A118" s="359"/>
      <c r="B118" s="90"/>
      <c r="C118" s="362" t="s">
        <v>425</v>
      </c>
      <c r="D118" s="96"/>
      <c r="E118" s="360"/>
      <c r="F118" s="356">
        <v>2.95</v>
      </c>
      <c r="G118" s="356">
        <v>1.8</v>
      </c>
      <c r="H118" s="115">
        <v>3</v>
      </c>
      <c r="I118" s="107">
        <v>2</v>
      </c>
      <c r="J118" s="368">
        <f t="shared" si="7"/>
        <v>21.42</v>
      </c>
    </row>
    <row r="119" spans="1:10">
      <c r="A119" s="359"/>
      <c r="B119" s="90"/>
      <c r="C119" s="362" t="s">
        <v>426</v>
      </c>
      <c r="D119" s="96"/>
      <c r="E119" s="360"/>
      <c r="F119" s="356">
        <v>3.9</v>
      </c>
      <c r="G119" s="356">
        <v>1.8</v>
      </c>
      <c r="H119" s="115">
        <v>3</v>
      </c>
      <c r="I119" s="107">
        <v>2</v>
      </c>
      <c r="J119" s="368">
        <f t="shared" si="7"/>
        <v>24.84</v>
      </c>
    </row>
    <row r="120" spans="1:10">
      <c r="A120" s="359"/>
      <c r="B120" s="90"/>
      <c r="C120" s="363" t="s">
        <v>409</v>
      </c>
      <c r="D120" s="96"/>
      <c r="E120" s="360"/>
      <c r="F120" s="356">
        <v>30</v>
      </c>
      <c r="G120" s="356">
        <v>1.8</v>
      </c>
      <c r="H120" s="107"/>
      <c r="I120" s="107">
        <v>1</v>
      </c>
      <c r="J120" s="368">
        <f t="shared" si="7"/>
        <v>54</v>
      </c>
    </row>
    <row r="121" spans="1:10">
      <c r="A121" s="359"/>
      <c r="B121" s="90"/>
      <c r="C121" s="362" t="s">
        <v>410</v>
      </c>
      <c r="D121" s="96"/>
      <c r="E121" s="360"/>
      <c r="F121" s="356">
        <v>21.75</v>
      </c>
      <c r="G121" s="356">
        <v>1.8</v>
      </c>
      <c r="H121" s="107"/>
      <c r="I121" s="107">
        <v>1</v>
      </c>
      <c r="J121" s="368">
        <f t="shared" si="7"/>
        <v>39.15</v>
      </c>
    </row>
    <row r="122" spans="1:10">
      <c r="A122" s="359"/>
      <c r="B122" s="90"/>
      <c r="C122" s="362" t="s">
        <v>411</v>
      </c>
      <c r="D122" s="96"/>
      <c r="E122" s="360"/>
      <c r="F122" s="356">
        <v>22</v>
      </c>
      <c r="G122" s="356">
        <v>1.8</v>
      </c>
      <c r="H122" s="107"/>
      <c r="I122" s="107">
        <v>1</v>
      </c>
      <c r="J122" s="368">
        <f t="shared" si="7"/>
        <v>39.6</v>
      </c>
    </row>
    <row r="123" spans="1:10">
      <c r="A123" s="359"/>
      <c r="B123" s="90"/>
      <c r="C123" s="363" t="s">
        <v>412</v>
      </c>
      <c r="D123" s="96"/>
      <c r="E123" s="360"/>
      <c r="F123" s="356">
        <v>14</v>
      </c>
      <c r="G123" s="356">
        <v>1.8</v>
      </c>
      <c r="H123" s="107"/>
      <c r="I123" s="107">
        <v>1</v>
      </c>
      <c r="J123" s="368">
        <f t="shared" si="7"/>
        <v>25.2</v>
      </c>
    </row>
    <row r="124" ht="47.25" spans="1:10">
      <c r="A124" s="370" t="s">
        <v>128</v>
      </c>
      <c r="B124" s="78" t="str">
        <f>'ORÇAMENTO BÁSICO'!B38</f>
        <v>13.03.141 (EMLURB - 07/2018)</v>
      </c>
      <c r="C124" s="371" t="str">
        <f>'ORÇAMENTO BÁSICO'!C38</f>
        <v>PISO CERAMICO ESMALTADO 36X36CM, TIPO A, PEI5 ELIANE, PORTO RICO, SAMARSA, ELIZABETH OU SIM ASSENTADO COM ARGAMASSA PRE FABRICADA E REJUNTE DA QUARTZOLIT OU SIM. (ESP. DA JUNTA=6MM). </v>
      </c>
      <c r="D124" s="96" t="s">
        <v>56</v>
      </c>
      <c r="E124" s="360">
        <v>405</v>
      </c>
      <c r="F124" s="115"/>
      <c r="G124" s="107"/>
      <c r="H124" s="115"/>
      <c r="I124" s="107"/>
      <c r="J124" s="368"/>
    </row>
    <row r="125" spans="1:10">
      <c r="A125" s="359"/>
      <c r="B125" s="90"/>
      <c r="C125" s="362" t="s">
        <v>398</v>
      </c>
      <c r="D125" s="96"/>
      <c r="E125" s="360"/>
      <c r="F125" s="356">
        <v>8</v>
      </c>
      <c r="G125" s="107"/>
      <c r="H125" s="115">
        <v>5</v>
      </c>
      <c r="I125" s="107"/>
      <c r="J125" s="368">
        <f t="shared" ref="J125:J138" si="8">F125*H125</f>
        <v>40</v>
      </c>
    </row>
    <row r="126" spans="1:10">
      <c r="A126" s="359"/>
      <c r="B126" s="90"/>
      <c r="C126" s="362" t="s">
        <v>399</v>
      </c>
      <c r="D126" s="96"/>
      <c r="E126" s="360"/>
      <c r="F126" s="356">
        <v>8</v>
      </c>
      <c r="G126" s="107"/>
      <c r="H126" s="115">
        <v>5</v>
      </c>
      <c r="I126" s="107"/>
      <c r="J126" s="368">
        <f t="shared" si="8"/>
        <v>40</v>
      </c>
    </row>
    <row r="127" spans="1:10">
      <c r="A127" s="359"/>
      <c r="B127" s="90"/>
      <c r="C127" s="362" t="s">
        <v>400</v>
      </c>
      <c r="D127" s="96"/>
      <c r="E127" s="360"/>
      <c r="F127" s="356">
        <v>8</v>
      </c>
      <c r="G127" s="107"/>
      <c r="H127" s="115">
        <v>5</v>
      </c>
      <c r="I127" s="107"/>
      <c r="J127" s="368">
        <f t="shared" si="8"/>
        <v>40</v>
      </c>
    </row>
    <row r="128" spans="1:10">
      <c r="A128" s="359"/>
      <c r="B128" s="90"/>
      <c r="C128" s="362" t="s">
        <v>401</v>
      </c>
      <c r="D128" s="96"/>
      <c r="E128" s="360"/>
      <c r="F128" s="356">
        <v>4.65</v>
      </c>
      <c r="G128" s="107"/>
      <c r="H128" s="115">
        <v>5</v>
      </c>
      <c r="I128" s="107"/>
      <c r="J128" s="368">
        <f t="shared" si="8"/>
        <v>23.25</v>
      </c>
    </row>
    <row r="129" spans="1:10">
      <c r="A129" s="359"/>
      <c r="B129" s="90"/>
      <c r="C129" s="362" t="s">
        <v>402</v>
      </c>
      <c r="D129" s="96"/>
      <c r="E129" s="360"/>
      <c r="F129" s="356">
        <v>8</v>
      </c>
      <c r="G129" s="107"/>
      <c r="H129" s="115">
        <v>5</v>
      </c>
      <c r="I129" s="107"/>
      <c r="J129" s="368">
        <f t="shared" si="8"/>
        <v>40</v>
      </c>
    </row>
    <row r="130" spans="1:10">
      <c r="A130" s="359"/>
      <c r="B130" s="90"/>
      <c r="C130" s="362" t="s">
        <v>403</v>
      </c>
      <c r="D130" s="96"/>
      <c r="E130" s="360"/>
      <c r="F130" s="356">
        <v>8</v>
      </c>
      <c r="G130" s="107"/>
      <c r="H130" s="115">
        <v>5</v>
      </c>
      <c r="I130" s="107"/>
      <c r="J130" s="368">
        <f t="shared" si="8"/>
        <v>40</v>
      </c>
    </row>
    <row r="131" spans="1:10">
      <c r="A131" s="359"/>
      <c r="B131" s="90"/>
      <c r="C131" s="362" t="s">
        <v>404</v>
      </c>
      <c r="D131" s="96"/>
      <c r="E131" s="360"/>
      <c r="F131" s="356">
        <v>3.5</v>
      </c>
      <c r="G131" s="107"/>
      <c r="H131" s="115">
        <v>5</v>
      </c>
      <c r="I131" s="107"/>
      <c r="J131" s="368">
        <f t="shared" si="8"/>
        <v>17.5</v>
      </c>
    </row>
    <row r="132" spans="1:10">
      <c r="A132" s="359"/>
      <c r="B132" s="90"/>
      <c r="C132" s="362" t="s">
        <v>405</v>
      </c>
      <c r="D132" s="96"/>
      <c r="E132" s="360"/>
      <c r="F132" s="356">
        <v>3.8</v>
      </c>
      <c r="G132" s="107"/>
      <c r="H132" s="115">
        <v>3</v>
      </c>
      <c r="I132" s="107"/>
      <c r="J132" s="368">
        <f t="shared" si="8"/>
        <v>11.4</v>
      </c>
    </row>
    <row r="133" spans="1:10">
      <c r="A133" s="359"/>
      <c r="B133" s="90"/>
      <c r="C133" s="362" t="s">
        <v>424</v>
      </c>
      <c r="D133" s="96"/>
      <c r="E133" s="360"/>
      <c r="F133" s="356">
        <v>4</v>
      </c>
      <c r="G133" s="107"/>
      <c r="H133" s="115">
        <v>5</v>
      </c>
      <c r="I133" s="107"/>
      <c r="J133" s="368">
        <f t="shared" si="8"/>
        <v>20</v>
      </c>
    </row>
    <row r="134" spans="1:10">
      <c r="A134" s="359"/>
      <c r="B134" s="90"/>
      <c r="C134" s="362" t="s">
        <v>406</v>
      </c>
      <c r="D134" s="96"/>
      <c r="E134" s="360"/>
      <c r="F134" s="356">
        <v>24.45</v>
      </c>
      <c r="G134" s="107"/>
      <c r="H134" s="115">
        <v>1.6</v>
      </c>
      <c r="I134" s="107"/>
      <c r="J134" s="368">
        <f t="shared" si="8"/>
        <v>39.12</v>
      </c>
    </row>
    <row r="135" spans="1:10">
      <c r="A135" s="359"/>
      <c r="B135" s="90"/>
      <c r="C135" s="363" t="s">
        <v>407</v>
      </c>
      <c r="D135" s="96"/>
      <c r="E135" s="360"/>
      <c r="F135" s="356">
        <v>24.6</v>
      </c>
      <c r="G135" s="107"/>
      <c r="H135" s="115">
        <v>2</v>
      </c>
      <c r="I135" s="107"/>
      <c r="J135" s="368">
        <f t="shared" si="8"/>
        <v>49.2</v>
      </c>
    </row>
    <row r="136" spans="1:10">
      <c r="A136" s="359"/>
      <c r="B136" s="90"/>
      <c r="C136" s="362" t="s">
        <v>408</v>
      </c>
      <c r="D136" s="96"/>
      <c r="E136" s="360"/>
      <c r="F136" s="356">
        <v>12</v>
      </c>
      <c r="G136" s="107"/>
      <c r="H136" s="115">
        <v>2</v>
      </c>
      <c r="I136" s="107"/>
      <c r="J136" s="368">
        <f t="shared" si="8"/>
        <v>24</v>
      </c>
    </row>
    <row r="137" spans="1:10">
      <c r="A137" s="359"/>
      <c r="B137" s="90"/>
      <c r="C137" s="362" t="s">
        <v>425</v>
      </c>
      <c r="D137" s="96"/>
      <c r="E137" s="360"/>
      <c r="F137" s="356">
        <v>2.95</v>
      </c>
      <c r="G137" s="107"/>
      <c r="H137" s="115">
        <v>3</v>
      </c>
      <c r="I137" s="107"/>
      <c r="J137" s="368">
        <f t="shared" si="8"/>
        <v>8.85</v>
      </c>
    </row>
    <row r="138" spans="1:10">
      <c r="A138" s="359"/>
      <c r="B138" s="90"/>
      <c r="C138" s="362" t="s">
        <v>426</v>
      </c>
      <c r="D138" s="96"/>
      <c r="E138" s="360"/>
      <c r="F138" s="356">
        <v>3.9</v>
      </c>
      <c r="G138" s="107"/>
      <c r="H138" s="115">
        <v>3</v>
      </c>
      <c r="I138" s="107"/>
      <c r="J138" s="368">
        <f t="shared" si="8"/>
        <v>11.7</v>
      </c>
    </row>
    <row r="139" ht="47.25" spans="1:10">
      <c r="A139" s="370" t="s">
        <v>131</v>
      </c>
      <c r="B139" s="90" t="str">
        <f>'ORÇAMENTO BÁSICO'!B39</f>
        <v>Composição 3</v>
      </c>
      <c r="C139" s="371" t="str">
        <f>'ORÇAMENTO BÁSICO'!C39</f>
        <v>CONCRETO ARMADO PRONTO, FCK 40 MPA, SUBSTITUINDO O CIMENTO POR GRAUTE, PARA REFORÇO ESTRUTURAL, LANCADO EM VIGAS E ADENSADO, INCLUSIVE FORMA, ESCORAMENTO E FERRAGEM </v>
      </c>
      <c r="D139" s="96" t="s">
        <v>56</v>
      </c>
      <c r="E139" s="360">
        <f>TRUNC(SUM(J140:J149),2)</f>
        <v>1.19</v>
      </c>
      <c r="F139" s="115"/>
      <c r="G139" s="107"/>
      <c r="H139" s="115"/>
      <c r="I139" s="107"/>
      <c r="J139" s="368"/>
    </row>
    <row r="140" spans="1:10">
      <c r="A140" s="359"/>
      <c r="B140" s="90"/>
      <c r="C140" s="362" t="s">
        <v>427</v>
      </c>
      <c r="D140" s="96"/>
      <c r="E140" s="360"/>
      <c r="F140" s="356">
        <v>2.5</v>
      </c>
      <c r="G140" s="356">
        <v>0.3</v>
      </c>
      <c r="H140" s="356">
        <v>0.15</v>
      </c>
      <c r="I140" s="107">
        <v>0.05</v>
      </c>
      <c r="J140" s="368">
        <f t="shared" ref="J140:J149" si="9">(G140+H140+G140)*F140*I140</f>
        <v>0.09375</v>
      </c>
    </row>
    <row r="141" spans="1:10">
      <c r="A141" s="359"/>
      <c r="B141" s="90"/>
      <c r="C141" s="362" t="s">
        <v>428</v>
      </c>
      <c r="D141" s="96"/>
      <c r="E141" s="360"/>
      <c r="F141" s="356">
        <v>2.5</v>
      </c>
      <c r="G141" s="356">
        <v>0.3</v>
      </c>
      <c r="H141" s="356">
        <v>0.15</v>
      </c>
      <c r="I141" s="107">
        <v>0.05</v>
      </c>
      <c r="J141" s="368">
        <f t="shared" si="9"/>
        <v>0.09375</v>
      </c>
    </row>
    <row r="142" spans="1:10">
      <c r="A142" s="359"/>
      <c r="B142" s="90"/>
      <c r="C142" s="362" t="s">
        <v>429</v>
      </c>
      <c r="D142" s="96"/>
      <c r="E142" s="360"/>
      <c r="F142" s="356">
        <v>3.83</v>
      </c>
      <c r="G142" s="356">
        <v>0.3</v>
      </c>
      <c r="H142" s="356">
        <v>0.15</v>
      </c>
      <c r="I142" s="107">
        <v>0.05</v>
      </c>
      <c r="J142" s="368">
        <f t="shared" si="9"/>
        <v>0.143625</v>
      </c>
    </row>
    <row r="143" spans="1:10">
      <c r="A143" s="359"/>
      <c r="B143" s="90"/>
      <c r="C143" s="362" t="s">
        <v>430</v>
      </c>
      <c r="D143" s="96"/>
      <c r="E143" s="360"/>
      <c r="F143" s="356">
        <v>3.8</v>
      </c>
      <c r="G143" s="356">
        <v>0.3</v>
      </c>
      <c r="H143" s="356">
        <v>0.15</v>
      </c>
      <c r="I143" s="107">
        <v>0.05</v>
      </c>
      <c r="J143" s="368">
        <f t="shared" si="9"/>
        <v>0.1425</v>
      </c>
    </row>
    <row r="144" spans="1:10">
      <c r="A144" s="359"/>
      <c r="B144" s="90"/>
      <c r="C144" s="362" t="s">
        <v>431</v>
      </c>
      <c r="D144" s="96"/>
      <c r="E144" s="360"/>
      <c r="F144" s="356">
        <v>3.85</v>
      </c>
      <c r="G144" s="356">
        <v>0.3</v>
      </c>
      <c r="H144" s="356">
        <v>0.15</v>
      </c>
      <c r="I144" s="107">
        <v>0.05</v>
      </c>
      <c r="J144" s="368">
        <f t="shared" si="9"/>
        <v>0.144375</v>
      </c>
    </row>
    <row r="145" spans="1:10">
      <c r="A145" s="359"/>
      <c r="B145" s="90"/>
      <c r="C145" s="362" t="s">
        <v>432</v>
      </c>
      <c r="D145" s="96"/>
      <c r="E145" s="360"/>
      <c r="F145" s="356">
        <v>3.71</v>
      </c>
      <c r="G145" s="356">
        <v>0.3</v>
      </c>
      <c r="H145" s="356">
        <v>0.15</v>
      </c>
      <c r="I145" s="107">
        <v>0.05</v>
      </c>
      <c r="J145" s="368">
        <f t="shared" si="9"/>
        <v>0.139125</v>
      </c>
    </row>
    <row r="146" spans="1:10">
      <c r="A146" s="359"/>
      <c r="B146" s="90"/>
      <c r="C146" s="362" t="s">
        <v>433</v>
      </c>
      <c r="D146" s="96"/>
      <c r="E146" s="360"/>
      <c r="F146" s="356">
        <v>3.97</v>
      </c>
      <c r="G146" s="356">
        <v>0.3</v>
      </c>
      <c r="H146" s="356">
        <v>0.15</v>
      </c>
      <c r="I146" s="107">
        <v>0.05</v>
      </c>
      <c r="J146" s="368">
        <f t="shared" si="9"/>
        <v>0.148875</v>
      </c>
    </row>
    <row r="147" spans="1:10">
      <c r="A147" s="359"/>
      <c r="B147" s="90"/>
      <c r="C147" s="362" t="s">
        <v>434</v>
      </c>
      <c r="D147" s="96"/>
      <c r="E147" s="360"/>
      <c r="F147" s="356">
        <v>3.78</v>
      </c>
      <c r="G147" s="356">
        <v>0.3</v>
      </c>
      <c r="H147" s="356">
        <v>0.15</v>
      </c>
      <c r="I147" s="107">
        <v>0.05</v>
      </c>
      <c r="J147" s="368">
        <f t="shared" si="9"/>
        <v>0.14175</v>
      </c>
    </row>
    <row r="148" spans="1:10">
      <c r="A148" s="359"/>
      <c r="B148" s="90"/>
      <c r="C148" s="362" t="s">
        <v>435</v>
      </c>
      <c r="D148" s="96"/>
      <c r="E148" s="360"/>
      <c r="F148" s="356">
        <v>1.95</v>
      </c>
      <c r="G148" s="356">
        <v>0.3</v>
      </c>
      <c r="H148" s="356">
        <v>0.15</v>
      </c>
      <c r="I148" s="107">
        <v>0.05</v>
      </c>
      <c r="J148" s="368">
        <f t="shared" si="9"/>
        <v>0.073125</v>
      </c>
    </row>
    <row r="149" spans="1:10">
      <c r="A149" s="359"/>
      <c r="B149" s="90"/>
      <c r="C149" s="362" t="s">
        <v>436</v>
      </c>
      <c r="D149" s="96"/>
      <c r="E149" s="360"/>
      <c r="F149" s="372">
        <v>1.91</v>
      </c>
      <c r="G149" s="356">
        <v>0.3</v>
      </c>
      <c r="H149" s="356">
        <v>0.15</v>
      </c>
      <c r="I149" s="107">
        <v>0.05</v>
      </c>
      <c r="J149" s="368">
        <f t="shared" si="9"/>
        <v>0.071625</v>
      </c>
    </row>
    <row r="150" ht="31.5" spans="1:10">
      <c r="A150" s="359" t="s">
        <v>134</v>
      </c>
      <c r="B150" s="90" t="str">
        <f>'ORÇAMENTO BÁSICO'!B40</f>
        <v>03.01.070 (EMLURB - 07/2018)</v>
      </c>
      <c r="C150" s="373" t="str">
        <f>'ORÇAMENTO BÁSICO'!C40</f>
        <v>DEMOLICAO DE REVESTIMENTO DE PISO EM CIMENTADO INCLUSIVE LASTRO DE CONCRETO. </v>
      </c>
      <c r="D150" s="96" t="s">
        <v>56</v>
      </c>
      <c r="E150" s="360">
        <v>0.58</v>
      </c>
      <c r="F150" s="372">
        <v>0.8</v>
      </c>
      <c r="G150" s="356">
        <v>0.1</v>
      </c>
      <c r="H150" s="374">
        <v>0.8</v>
      </c>
      <c r="I150" s="107">
        <v>9</v>
      </c>
      <c r="J150" s="368">
        <f>F150*G150*H150*I150</f>
        <v>0.576</v>
      </c>
    </row>
    <row r="151" spans="1:10">
      <c r="A151" s="359" t="s">
        <v>135</v>
      </c>
      <c r="B151" s="90" t="str">
        <f>'ORÇAMENTO BÁSICO'!B41</f>
        <v>05.01.010 (EMLURB - 07/2018)</v>
      </c>
      <c r="C151" s="373" t="str">
        <f>'ORÇAMENTO BÁSICO'!C41</f>
        <v>ESCAVACAO MANUAL EM TERRA ATE 1,50 M DE PROFUNDIDADE, SEM ESCORAMENTO. </v>
      </c>
      <c r="D151" s="96" t="s">
        <v>66</v>
      </c>
      <c r="E151" s="360">
        <f>J151</f>
        <v>6.33</v>
      </c>
      <c r="F151" s="372">
        <v>0.8</v>
      </c>
      <c r="G151" s="356">
        <v>1.1</v>
      </c>
      <c r="H151" s="374">
        <v>0.8</v>
      </c>
      <c r="I151" s="107">
        <v>9</v>
      </c>
      <c r="J151" s="368">
        <f>TRUNC(F151*G151*H151*I151,2)</f>
        <v>6.33</v>
      </c>
    </row>
    <row r="152" ht="47.25" spans="1:10">
      <c r="A152" s="359" t="s">
        <v>137</v>
      </c>
      <c r="B152" s="90" t="str">
        <f>'ORÇAMENTO BÁSICO'!B42</f>
        <v>Composição 3</v>
      </c>
      <c r="C152" s="371" t="str">
        <f>'ORÇAMENTO BÁSICO'!C42</f>
        <v>CONCRETO ARMADO PRONTO, FCK 40 MPA, SUBSTITUINDO O CIMENTO POR GRAUTE, PARA REFORÇO ESTRUTURAL, LANCADO EM PILARES E ADENSADO, INCLUSIVE FORMA, ESCORAMENTO E FERRAGEM </v>
      </c>
      <c r="D152" s="96" t="s">
        <v>66</v>
      </c>
      <c r="E152" s="360">
        <f>SUM(J153:J153)</f>
        <v>1.89</v>
      </c>
      <c r="F152" s="115"/>
      <c r="G152" s="107"/>
      <c r="H152" s="115"/>
      <c r="I152" s="107"/>
      <c r="J152" s="368"/>
    </row>
    <row r="153" spans="2:10">
      <c r="B153" s="90"/>
      <c r="C153" s="362" t="s">
        <v>437</v>
      </c>
      <c r="D153" s="96"/>
      <c r="E153" s="360"/>
      <c r="F153" s="356">
        <f>0.35*4</f>
        <v>1.4</v>
      </c>
      <c r="G153" s="356">
        <v>3</v>
      </c>
      <c r="H153" s="356">
        <v>0.05</v>
      </c>
      <c r="I153" s="107">
        <v>9</v>
      </c>
      <c r="J153" s="368">
        <f>F153*G153*H153*I153</f>
        <v>1.89</v>
      </c>
    </row>
    <row r="154" ht="31.5" spans="1:10">
      <c r="A154" s="359" t="s">
        <v>139</v>
      </c>
      <c r="B154" s="90" t="str">
        <f>'ORÇAMENTO BÁSICO'!B43</f>
        <v>05.02.020 (EMLURB - 07/2018)</v>
      </c>
      <c r="C154" s="373" t="str">
        <f>'ORÇAMENTO BÁSICO'!C43</f>
        <v>REATERRO APILOADO DE VALAS EM CAMADAS DE 20CM DE ESPESSURA, COM APROVEITAMENTO DO MATERIAL ESCAVADO.</v>
      </c>
      <c r="D154" s="96" t="s">
        <v>66</v>
      </c>
      <c r="E154" s="360">
        <f>J154</f>
        <v>4.44</v>
      </c>
      <c r="F154" s="372">
        <f>E151</f>
        <v>6.33</v>
      </c>
      <c r="G154" s="356"/>
      <c r="H154" s="374">
        <f>E152</f>
        <v>1.89</v>
      </c>
      <c r="I154" s="107"/>
      <c r="J154" s="368">
        <f>F154-H154</f>
        <v>4.44</v>
      </c>
    </row>
    <row r="155" ht="9" customHeight="1" spans="1:10">
      <c r="A155" s="359"/>
      <c r="B155" s="90"/>
      <c r="C155" s="363"/>
      <c r="D155" s="89"/>
      <c r="E155" s="360"/>
      <c r="F155" s="356"/>
      <c r="G155" s="356"/>
      <c r="H155" s="374"/>
      <c r="I155" s="107"/>
      <c r="J155" s="368"/>
    </row>
    <row r="156" ht="36" customHeight="1" spans="1:10">
      <c r="A156" s="351" t="s">
        <v>18</v>
      </c>
      <c r="B156" s="352" t="s">
        <v>438</v>
      </c>
      <c r="C156" s="352"/>
      <c r="D156" s="352"/>
      <c r="E156" s="352"/>
      <c r="F156" s="352"/>
      <c r="G156" s="352"/>
      <c r="H156" s="352"/>
      <c r="I156" s="352"/>
      <c r="J156" s="352"/>
    </row>
    <row r="157" spans="1:10">
      <c r="A157" s="359" t="s">
        <v>143</v>
      </c>
      <c r="B157" s="107" t="str">
        <f>'ORÇAMENTO BÁSICO'!B46</f>
        <v>05.01.010 (EMLURB - 07/2018)</v>
      </c>
      <c r="C157" s="108" t="str">
        <f>'ORÇAMENTO BÁSICO'!C46</f>
        <v>ESCAVACAO MANUAL EM TERRA ATE 1,50 M DE PROFUNDIDADE, SEM ESCORAMENTO. </v>
      </c>
      <c r="D157" s="77" t="s">
        <v>66</v>
      </c>
      <c r="E157" s="360">
        <f t="shared" ref="E157:E162" si="10">J157</f>
        <v>4</v>
      </c>
      <c r="F157" s="115">
        <v>2</v>
      </c>
      <c r="G157" s="107">
        <v>1</v>
      </c>
      <c r="H157" s="115">
        <v>2</v>
      </c>
      <c r="I157" s="107"/>
      <c r="J157" s="368">
        <f>F157*G157*H157</f>
        <v>4</v>
      </c>
    </row>
    <row r="158" ht="31.5" spans="1:10">
      <c r="A158" s="359" t="s">
        <v>144</v>
      </c>
      <c r="B158" s="90" t="str">
        <f>'ORÇAMENTO BÁSICO'!B47</f>
        <v>06.03.010 (EMLURB - 07/2018)</v>
      </c>
      <c r="C158" s="371" t="str">
        <f>'ORÇAMENTO BÁSICO'!C47</f>
        <v>CONCRETO NAO ESTRUTURAL (1 4 8) PARA LASTROS DE PISOS E FUNDACOES, LANCADO E ADENSADO.</v>
      </c>
      <c r="D158" s="96" t="s">
        <v>66</v>
      </c>
      <c r="E158" s="360">
        <f t="shared" si="10"/>
        <v>0.4</v>
      </c>
      <c r="F158" s="115">
        <v>2</v>
      </c>
      <c r="G158" s="107">
        <v>0.1</v>
      </c>
      <c r="H158" s="115">
        <v>2</v>
      </c>
      <c r="I158" s="107"/>
      <c r="J158" s="368">
        <f>F158*G158*H158</f>
        <v>0.4</v>
      </c>
    </row>
    <row r="159" ht="32.25" customHeight="1" spans="1:10">
      <c r="A159" s="359" t="s">
        <v>147</v>
      </c>
      <c r="B159" s="90" t="str">
        <f>'ORÇAMENTO BÁSICO'!B48</f>
        <v>06.03.104 (EMLURB - 07/2018)</v>
      </c>
      <c r="C159" s="371" t="str">
        <f>'ORÇAMENTO BÁSICO'!C48</f>
        <v>CONCRETO ARMADO PRONTO, FCK 30 MPA CONDICAO A (NBR 12655), LANCADO EM FUNDACOES E ADENSADO, INCLUSIVE FORMA, ESCORAMENTO E FERRAGEM.</v>
      </c>
      <c r="D159" s="96" t="s">
        <v>66</v>
      </c>
      <c r="E159" s="360">
        <f t="shared" si="10"/>
        <v>1.2</v>
      </c>
      <c r="F159" s="115">
        <v>2</v>
      </c>
      <c r="G159" s="107">
        <v>0.3</v>
      </c>
      <c r="H159" s="115">
        <v>2</v>
      </c>
      <c r="I159" s="107"/>
      <c r="J159" s="368">
        <f>F159*G159*H159</f>
        <v>1.2</v>
      </c>
    </row>
    <row r="160" ht="31.5" spans="1:10">
      <c r="A160" s="359" t="s">
        <v>150</v>
      </c>
      <c r="B160" s="90" t="str">
        <f>'ORÇAMENTO BÁSICO'!B49</f>
        <v>06.03.134 (EMLURB - 07/2018)</v>
      </c>
      <c r="C160" s="371" t="str">
        <f>'ORÇAMENTO BÁSICO'!C49</f>
        <v>CONCRETO ARMADO PRONTO, FCK 30 MPA,CONDICAO A (NBR 12655), LANCADO EM PILARES E ADENSADO,INCLUSIVE FORMA, ESCORAMENTO E FERRAGEM. </v>
      </c>
      <c r="D160" s="96" t="s">
        <v>66</v>
      </c>
      <c r="E160" s="360">
        <f t="shared" si="10"/>
        <v>1.8</v>
      </c>
      <c r="F160" s="115">
        <v>0.3</v>
      </c>
      <c r="G160" s="107">
        <v>5</v>
      </c>
      <c r="H160" s="115">
        <v>0.3</v>
      </c>
      <c r="I160" s="107">
        <v>4</v>
      </c>
      <c r="J160" s="368">
        <f>F160*G160*H160*I160</f>
        <v>1.8</v>
      </c>
    </row>
    <row r="161" ht="31.5" spans="1:10">
      <c r="A161" s="359" t="s">
        <v>153</v>
      </c>
      <c r="B161" s="78" t="str">
        <f>'ORÇAMENTO BÁSICO'!B50</f>
        <v>06.03.114  (EMLURB - 07/2018)</v>
      </c>
      <c r="C161" s="371" t="str">
        <f>'ORÇAMENTO BÁSICO'!C50</f>
        <v>CONCRETO ARMADO PRONTO, FCK 30 MPA,CONDICAO A (NBR 12655), LANCADO EM LAJES E ADENSADO, INCLUSIVE FORMA, ESCORAMENTO E FERRAGEM. </v>
      </c>
      <c r="D161" s="96" t="s">
        <v>66</v>
      </c>
      <c r="E161" s="360">
        <f t="shared" si="10"/>
        <v>0.4</v>
      </c>
      <c r="F161" s="115">
        <v>2</v>
      </c>
      <c r="G161" s="107">
        <v>0.1</v>
      </c>
      <c r="H161" s="115">
        <v>2</v>
      </c>
      <c r="I161" s="107"/>
      <c r="J161" s="368">
        <f>F161*G161*H161</f>
        <v>0.4</v>
      </c>
    </row>
    <row r="162" ht="31.5" spans="1:10">
      <c r="A162" s="359" t="s">
        <v>156</v>
      </c>
      <c r="B162" s="78" t="str">
        <f>'ORÇAMENTO BÁSICO'!B51</f>
        <v>06.03.124  (EMLURB - 07/2019)</v>
      </c>
      <c r="C162" s="371" t="str">
        <f>'ORÇAMENTO BÁSICO'!C51</f>
        <v>CONCRETO ARMADO PRONTO, FCK 30 MPA,CONDICAO A (NBR 12656), LANCADO EM VIGAS E ADENSADO, INCLUSIVE FORMA, ESCORAMENTO E FERRAGEM. </v>
      </c>
      <c r="D162" s="96" t="s">
        <v>66</v>
      </c>
      <c r="E162" s="360">
        <f t="shared" si="10"/>
        <v>0.24</v>
      </c>
      <c r="F162" s="115">
        <v>1</v>
      </c>
      <c r="G162" s="107">
        <v>0.15</v>
      </c>
      <c r="H162" s="115">
        <v>0.2</v>
      </c>
      <c r="I162" s="107">
        <v>8</v>
      </c>
      <c r="J162" s="368">
        <f>F162*G162*H162*I162</f>
        <v>0.24</v>
      </c>
    </row>
    <row r="163" ht="31.5" spans="1:10">
      <c r="A163" s="359" t="s">
        <v>159</v>
      </c>
      <c r="B163" s="90" t="str">
        <f>'ORÇAMENTO BÁSICO'!B52</f>
        <v>05.02.020 (EMLURB - 07/2018)</v>
      </c>
      <c r="C163" s="371" t="str">
        <f>'ORÇAMENTO BÁSICO'!C52</f>
        <v>REATERRO APILOADO DE VALAS EM CAMADAS DE 20CM DE ESPESSURA, COM APROVEITAMENTO DO MATERIAL ESCAVADO. </v>
      </c>
      <c r="D163" s="96" t="s">
        <v>66</v>
      </c>
      <c r="E163" s="360">
        <f>E157-E159</f>
        <v>2.8</v>
      </c>
      <c r="F163" s="115"/>
      <c r="G163" s="107"/>
      <c r="H163" s="115"/>
      <c r="I163" s="107"/>
      <c r="J163" s="368">
        <f>E163</f>
        <v>2.8</v>
      </c>
    </row>
    <row r="164" ht="9" customHeight="1" spans="1:10">
      <c r="A164" s="359"/>
      <c r="B164" s="90"/>
      <c r="C164" s="371"/>
      <c r="D164" s="89"/>
      <c r="E164" s="360"/>
      <c r="F164" s="115"/>
      <c r="G164" s="107"/>
      <c r="H164" s="115"/>
      <c r="I164" s="107"/>
      <c r="J164" s="368"/>
    </row>
    <row r="165" s="54" customFormat="1" ht="30" customHeight="1" spans="1:10">
      <c r="A165" s="351" t="s">
        <v>20</v>
      </c>
      <c r="B165" s="352" t="s">
        <v>161</v>
      </c>
      <c r="C165" s="352"/>
      <c r="D165" s="352"/>
      <c r="E165" s="352"/>
      <c r="F165" s="352"/>
      <c r="G165" s="352"/>
      <c r="H165" s="352"/>
      <c r="I165" s="352"/>
      <c r="J165" s="352"/>
    </row>
    <row r="166" ht="30" customHeight="1" spans="1:10">
      <c r="A166" s="359" t="s">
        <v>162</v>
      </c>
      <c r="B166" s="82" t="str">
        <f>'ORÇAMENTO BÁSICO'!B55</f>
        <v>08.01.060 (EMLURB - 07/2018)</v>
      </c>
      <c r="C166" s="371" t="str">
        <f>'ORÇAMENTO BÁSICO'!C55</f>
        <v>ESTRUTURA DE COBERTA EM MADEIRA DE LEI PARA TELHAS CERAMICAS - VAO DE 10 A 13 M.</v>
      </c>
      <c r="D166" s="96" t="s">
        <v>56</v>
      </c>
      <c r="E166" s="360">
        <f>J166</f>
        <v>172.8</v>
      </c>
      <c r="F166" s="115">
        <v>24</v>
      </c>
      <c r="G166" s="107"/>
      <c r="H166" s="115">
        <v>7.2</v>
      </c>
      <c r="I166" s="107"/>
      <c r="J166" s="368">
        <f>F166*H166</f>
        <v>172.8</v>
      </c>
    </row>
    <row r="167" spans="1:10">
      <c r="A167" s="359" t="s">
        <v>165</v>
      </c>
      <c r="B167" s="82" t="str">
        <f>'ORÇAMENTO BÁSICO'!B56</f>
        <v>08.02.060 (EMLURB - 07/2018)</v>
      </c>
      <c r="C167" s="371" t="str">
        <f>'ORÇAMENTO BÁSICO'!C56</f>
        <v>COBERTURA COM TELHAS CERAMICAS, TIPO COLONIAL. </v>
      </c>
      <c r="D167" s="96" t="s">
        <v>56</v>
      </c>
      <c r="E167" s="360">
        <f>J167</f>
        <v>307.58</v>
      </c>
      <c r="F167" s="115">
        <v>24</v>
      </c>
      <c r="G167" s="107"/>
      <c r="H167" s="115">
        <v>7.2</v>
      </c>
      <c r="I167" s="107">
        <v>1.78</v>
      </c>
      <c r="J167" s="368">
        <f>TRUNC((F167*H167)*1.78,2)</f>
        <v>307.58</v>
      </c>
    </row>
    <row r="168" ht="15" customHeight="1" spans="1:10">
      <c r="A168" s="359" t="s">
        <v>168</v>
      </c>
      <c r="B168" s="82" t="str">
        <f>'ORÇAMENTO BÁSICO'!B57</f>
        <v>08.02.060 (EMLURB - 07/2018)</v>
      </c>
      <c r="C168" s="373" t="str">
        <f>'ORÇAMENTO BÁSICO'!C57</f>
        <v>COBERTURA COM TELHAS CERAMICAS, TIPO COLONIAL. (SÓ MÃO DE OBRA)</v>
      </c>
      <c r="D168" s="96" t="s">
        <v>56</v>
      </c>
      <c r="E168" s="360">
        <f>SUM(J168:J169)</f>
        <v>136.4</v>
      </c>
      <c r="F168" s="115">
        <v>23</v>
      </c>
      <c r="G168" s="107"/>
      <c r="H168" s="115">
        <v>5.5</v>
      </c>
      <c r="I168" s="107">
        <v>2</v>
      </c>
      <c r="J168" s="368">
        <f>(F168*H168)/I168</f>
        <v>63.25</v>
      </c>
    </row>
    <row r="169" spans="1:10">
      <c r="A169" s="359"/>
      <c r="B169" s="82"/>
      <c r="C169" s="373"/>
      <c r="D169" s="96"/>
      <c r="E169" s="360"/>
      <c r="F169" s="115">
        <v>19</v>
      </c>
      <c r="G169" s="107"/>
      <c r="H169" s="115">
        <v>7.7</v>
      </c>
      <c r="I169" s="107">
        <v>2</v>
      </c>
      <c r="J169" s="368">
        <f>(F169*H169)/I169</f>
        <v>73.15</v>
      </c>
    </row>
    <row r="170" ht="9" customHeight="1" spans="1:10">
      <c r="A170" s="359"/>
      <c r="B170" s="82"/>
      <c r="C170" s="373"/>
      <c r="D170" s="89"/>
      <c r="E170" s="360"/>
      <c r="F170" s="115"/>
      <c r="G170" s="107"/>
      <c r="H170" s="115"/>
      <c r="I170" s="107"/>
      <c r="J170" s="368"/>
    </row>
    <row r="171" s="54" customFormat="1" ht="28" customHeight="1" spans="1:10">
      <c r="A171" s="351" t="s">
        <v>22</v>
      </c>
      <c r="B171" s="352" t="s">
        <v>170</v>
      </c>
      <c r="C171" s="352"/>
      <c r="D171" s="352"/>
      <c r="E171" s="352"/>
      <c r="F171" s="352"/>
      <c r="G171" s="352"/>
      <c r="H171" s="352"/>
      <c r="I171" s="352"/>
      <c r="J171" s="352"/>
    </row>
    <row r="172" ht="31.5" spans="1:10">
      <c r="A172" s="359" t="s">
        <v>171</v>
      </c>
      <c r="B172" s="82" t="str">
        <f>'ORÇAMENTO BÁSICO'!B60</f>
        <v>09.01.020 (EMLURB - 07/2018)</v>
      </c>
      <c r="C172" s="371" t="str">
        <f>'ORÇAMENTO BÁSICO'!C60</f>
        <v>ESQUADRIA DE MADEIRA COM GRADE E FOLHA EM MADEIRA DE LEI PARA PORTAS EXTERNAS INCLUSIVE ASSENTAMENTO E FERRAGENS. </v>
      </c>
      <c r="D172" s="96" t="s">
        <v>56</v>
      </c>
      <c r="E172" s="360">
        <f>J172</f>
        <v>24.57</v>
      </c>
      <c r="F172" s="107">
        <v>2.1</v>
      </c>
      <c r="G172" s="115">
        <v>0.9</v>
      </c>
      <c r="H172" s="107"/>
      <c r="I172" s="107">
        <v>13</v>
      </c>
      <c r="J172" s="368">
        <f>F172*G172*I172</f>
        <v>24.57</v>
      </c>
    </row>
    <row r="173" ht="47.25" spans="1:10">
      <c r="A173" s="359" t="s">
        <v>174</v>
      </c>
      <c r="B173" s="98" t="str">
        <f>'ORÇAMENTO BÁSICO'!B61</f>
        <v>09.02.020 (EMLURB - 07/2018)</v>
      </c>
      <c r="C173" s="371" t="str">
        <f>'ORÇAMENTO BÁSICO'!C61</f>
        <v>GRADE DE PROTECAO DE PORTA EM FERRO C/ VAROES DE 1/2", ESPAC=10CM E ACABAMENTO EM BARRA CHATA DE 1" X 1/4", INCLUSIVE FECHADURA DE SOBREPOR BRASIL OU SIMILAR E ASSENTAMENTO. </v>
      </c>
      <c r="D173" s="96" t="s">
        <v>56</v>
      </c>
      <c r="E173" s="360">
        <f>J173</f>
        <v>24.57</v>
      </c>
      <c r="F173" s="107">
        <v>2.1</v>
      </c>
      <c r="G173" s="115">
        <v>0.9</v>
      </c>
      <c r="H173" s="107"/>
      <c r="I173" s="107">
        <v>13</v>
      </c>
      <c r="J173" s="368">
        <f>F173*G173*I173</f>
        <v>24.57</v>
      </c>
    </row>
    <row r="174" ht="37.5" customHeight="1" spans="1:10">
      <c r="A174" s="359" t="s">
        <v>177</v>
      </c>
      <c r="B174" s="82" t="str">
        <f>'ORÇAMENTO BÁSICO'!B62</f>
        <v>09.03.010 (EMLURB - 07/2018)</v>
      </c>
      <c r="C174" s="371" t="str">
        <f>'ORÇAMENTO BÁSICO'!C62</f>
        <v>FORNECIMENTO DE ESQUADRIA DE ALUMINIO, TIPO CORRER SEM BANDEIRA, COM CONTRAMARCO, INCLUSI VE ASSENTAMENTO.</v>
      </c>
      <c r="D174" s="96" t="s">
        <v>56</v>
      </c>
      <c r="E174" s="360">
        <f>J174</f>
        <v>3.6</v>
      </c>
      <c r="F174" s="115">
        <v>1.5</v>
      </c>
      <c r="G174" s="107">
        <v>0.8</v>
      </c>
      <c r="H174" s="115"/>
      <c r="I174" s="107">
        <v>3</v>
      </c>
      <c r="J174" s="368">
        <f>F174*G174*I174</f>
        <v>3.6</v>
      </c>
    </row>
    <row r="175" ht="31.5" spans="1:10">
      <c r="A175" s="359" t="s">
        <v>180</v>
      </c>
      <c r="B175" s="82" t="str">
        <f>'ORÇAMENTO BÁSICO'!B63</f>
        <v>09.02.022 (EMLURB - 07/2018)</v>
      </c>
      <c r="C175" s="371" t="str">
        <f>'ORÇAMENTO BÁSICO'!C63</f>
        <v>GRADE DE PROTECAO DE JANELA EM FERRO COM VAROES DE 1/2", ESPAC=10CM E ACABAMENTO EM BARRA CHATA DE 1" X 1/4" INCLUSIVE ASSENTAMENTO.</v>
      </c>
      <c r="D175" s="96" t="s">
        <v>56</v>
      </c>
      <c r="E175" s="360">
        <f>J175</f>
        <v>3.6</v>
      </c>
      <c r="F175" s="115">
        <v>1.5</v>
      </c>
      <c r="G175" s="107">
        <v>0.8</v>
      </c>
      <c r="H175" s="115"/>
      <c r="I175" s="107">
        <v>3</v>
      </c>
      <c r="J175" s="368">
        <f>F175*G175*I175</f>
        <v>3.6</v>
      </c>
    </row>
    <row r="176" ht="9" customHeight="1" spans="1:10">
      <c r="A176" s="359"/>
      <c r="B176" s="82"/>
      <c r="C176" s="371"/>
      <c r="D176" s="89"/>
      <c r="E176" s="360"/>
      <c r="F176" s="115"/>
      <c r="G176" s="107"/>
      <c r="H176" s="115"/>
      <c r="I176" s="107"/>
      <c r="J176" s="368"/>
    </row>
    <row r="177" s="54" customFormat="1" ht="32" customHeight="1" spans="1:10">
      <c r="A177" s="351" t="s">
        <v>24</v>
      </c>
      <c r="B177" s="352" t="s">
        <v>183</v>
      </c>
      <c r="C177" s="352"/>
      <c r="D177" s="352"/>
      <c r="E177" s="352"/>
      <c r="F177" s="352"/>
      <c r="G177" s="352"/>
      <c r="H177" s="352"/>
      <c r="I177" s="352"/>
      <c r="J177" s="352"/>
    </row>
    <row r="178" ht="48" customHeight="1" spans="1:10">
      <c r="A178" s="370" t="s">
        <v>184</v>
      </c>
      <c r="B178" s="90" t="str">
        <f>'ORÇAMENTO BÁSICO'!B66</f>
        <v>16.03.010 (EMLURB - 07/2018)</v>
      </c>
      <c r="C178" s="91" t="str">
        <f>'ORÇAMENTO BÁSICO'!C66</f>
        <v>PINTURA LATEX EM PAREDES INTERNAS, CORALAR OU SIMILAR, DUAS DEMAOS, SEM MASSA CORRIDA,INCLU SIVE APLICACAO DE UMA DEMAO DE LIQUIDO SELADOR DE PAREDE.</v>
      </c>
      <c r="D178" s="77" t="s">
        <v>56</v>
      </c>
      <c r="E178" s="360">
        <f>TRUNC(SUM(J179:J195),2)</f>
        <v>1350.92</v>
      </c>
      <c r="F178" s="115"/>
      <c r="G178" s="107"/>
      <c r="H178" s="115"/>
      <c r="I178" s="107"/>
      <c r="J178" s="368"/>
    </row>
    <row r="179" spans="1:10">
      <c r="A179" s="359"/>
      <c r="B179" s="90"/>
      <c r="C179" s="362" t="s">
        <v>398</v>
      </c>
      <c r="D179" s="77"/>
      <c r="E179" s="360"/>
      <c r="F179" s="356">
        <v>8</v>
      </c>
      <c r="G179" s="356">
        <v>1.7</v>
      </c>
      <c r="H179" s="115">
        <v>5</v>
      </c>
      <c r="I179" s="107">
        <v>2</v>
      </c>
      <c r="J179" s="368">
        <f t="shared" ref="J179:J194" si="11">((H179+F179)*I179)*G179</f>
        <v>44.2</v>
      </c>
    </row>
    <row r="180" spans="1:10">
      <c r="A180" s="359"/>
      <c r="B180" s="90"/>
      <c r="C180" s="363" t="s">
        <v>399</v>
      </c>
      <c r="D180" s="77"/>
      <c r="E180" s="360"/>
      <c r="F180" s="356">
        <v>8</v>
      </c>
      <c r="G180" s="356">
        <v>1.7</v>
      </c>
      <c r="H180" s="115">
        <v>5</v>
      </c>
      <c r="I180" s="107">
        <v>2</v>
      </c>
      <c r="J180" s="368">
        <f t="shared" si="11"/>
        <v>44.2</v>
      </c>
    </row>
    <row r="181" spans="1:10">
      <c r="A181" s="359"/>
      <c r="B181" s="90"/>
      <c r="C181" s="362" t="s">
        <v>400</v>
      </c>
      <c r="D181" s="77"/>
      <c r="E181" s="360"/>
      <c r="F181" s="356">
        <v>8</v>
      </c>
      <c r="G181" s="356">
        <v>1.7</v>
      </c>
      <c r="H181" s="115">
        <v>5</v>
      </c>
      <c r="I181" s="107">
        <v>2</v>
      </c>
      <c r="J181" s="368">
        <f t="shared" si="11"/>
        <v>44.2</v>
      </c>
    </row>
    <row r="182" spans="1:10">
      <c r="A182" s="359"/>
      <c r="B182" s="90"/>
      <c r="C182" s="362" t="s">
        <v>401</v>
      </c>
      <c r="D182" s="77"/>
      <c r="E182" s="360"/>
      <c r="F182" s="356">
        <v>4.65</v>
      </c>
      <c r="G182" s="356">
        <v>1.7</v>
      </c>
      <c r="H182" s="115">
        <v>5</v>
      </c>
      <c r="I182" s="107">
        <v>2</v>
      </c>
      <c r="J182" s="368">
        <f t="shared" si="11"/>
        <v>32.81</v>
      </c>
    </row>
    <row r="183" spans="1:10">
      <c r="A183" s="359"/>
      <c r="B183" s="90"/>
      <c r="C183" s="363" t="s">
        <v>402</v>
      </c>
      <c r="D183" s="77"/>
      <c r="E183" s="360"/>
      <c r="F183" s="356">
        <v>8</v>
      </c>
      <c r="G183" s="356">
        <v>1.7</v>
      </c>
      <c r="H183" s="115">
        <v>5</v>
      </c>
      <c r="I183" s="107">
        <v>2</v>
      </c>
      <c r="J183" s="368">
        <f t="shared" si="11"/>
        <v>44.2</v>
      </c>
    </row>
    <row r="184" spans="1:10">
      <c r="A184" s="359"/>
      <c r="B184" s="90"/>
      <c r="C184" s="363" t="s">
        <v>403</v>
      </c>
      <c r="D184" s="77"/>
      <c r="E184" s="360"/>
      <c r="F184" s="356">
        <v>8</v>
      </c>
      <c r="G184" s="356">
        <v>1.7</v>
      </c>
      <c r="H184" s="115">
        <v>5</v>
      </c>
      <c r="I184" s="107">
        <v>2</v>
      </c>
      <c r="J184" s="368">
        <f t="shared" si="11"/>
        <v>44.2</v>
      </c>
    </row>
    <row r="185" spans="1:10">
      <c r="A185" s="359"/>
      <c r="B185" s="90"/>
      <c r="C185" s="363" t="s">
        <v>404</v>
      </c>
      <c r="D185" s="77"/>
      <c r="E185" s="360"/>
      <c r="F185" s="356">
        <v>8</v>
      </c>
      <c r="G185" s="356">
        <v>1.7</v>
      </c>
      <c r="H185" s="107">
        <v>3.35</v>
      </c>
      <c r="I185" s="107">
        <v>2</v>
      </c>
      <c r="J185" s="368">
        <f t="shared" si="11"/>
        <v>38.59</v>
      </c>
    </row>
    <row r="186" spans="1:10">
      <c r="A186" s="359"/>
      <c r="B186" s="90"/>
      <c r="C186" s="362" t="s">
        <v>405</v>
      </c>
      <c r="D186" s="77"/>
      <c r="E186" s="360"/>
      <c r="F186" s="356">
        <v>3.8</v>
      </c>
      <c r="G186" s="356">
        <v>3.55</v>
      </c>
      <c r="H186" s="115">
        <v>3</v>
      </c>
      <c r="I186" s="107">
        <v>2</v>
      </c>
      <c r="J186" s="368">
        <f t="shared" si="11"/>
        <v>48.28</v>
      </c>
    </row>
    <row r="187" spans="1:10">
      <c r="A187" s="359"/>
      <c r="B187" s="90"/>
      <c r="C187" s="362" t="s">
        <v>439</v>
      </c>
      <c r="D187" s="77"/>
      <c r="E187" s="360"/>
      <c r="F187" s="356">
        <v>3.9</v>
      </c>
      <c r="G187" s="356">
        <v>3.55</v>
      </c>
      <c r="H187" s="115">
        <v>3</v>
      </c>
      <c r="I187" s="107">
        <v>2</v>
      </c>
      <c r="J187" s="368">
        <f t="shared" si="11"/>
        <v>48.99</v>
      </c>
    </row>
    <row r="188" spans="1:10">
      <c r="A188" s="359"/>
      <c r="B188" s="90"/>
      <c r="C188" s="363" t="s">
        <v>425</v>
      </c>
      <c r="D188" s="77"/>
      <c r="E188" s="360"/>
      <c r="F188" s="356">
        <v>3</v>
      </c>
      <c r="G188" s="356">
        <v>3.55</v>
      </c>
      <c r="H188" s="115">
        <v>1.5</v>
      </c>
      <c r="I188" s="107">
        <v>1</v>
      </c>
      <c r="J188" s="368">
        <f t="shared" si="11"/>
        <v>15.975</v>
      </c>
    </row>
    <row r="189" spans="1:10">
      <c r="A189" s="359"/>
      <c r="B189" s="90"/>
      <c r="C189" s="362" t="s">
        <v>440</v>
      </c>
      <c r="D189" s="77"/>
      <c r="E189" s="360"/>
      <c r="F189" s="356">
        <v>2</v>
      </c>
      <c r="G189" s="356">
        <v>3.55</v>
      </c>
      <c r="H189" s="115">
        <v>1.5</v>
      </c>
      <c r="I189" s="107">
        <v>2</v>
      </c>
      <c r="J189" s="368">
        <f t="shared" si="11"/>
        <v>24.85</v>
      </c>
    </row>
    <row r="190" spans="1:10">
      <c r="A190" s="359"/>
      <c r="B190" s="90"/>
      <c r="C190" s="362" t="s">
        <v>441</v>
      </c>
      <c r="D190" s="77"/>
      <c r="E190" s="360"/>
      <c r="F190" s="356">
        <v>1.95</v>
      </c>
      <c r="G190" s="356">
        <v>3.55</v>
      </c>
      <c r="H190" s="115">
        <v>1.5</v>
      </c>
      <c r="I190" s="107">
        <v>2</v>
      </c>
      <c r="J190" s="368">
        <f t="shared" si="11"/>
        <v>24.495</v>
      </c>
    </row>
    <row r="191" spans="1:10">
      <c r="A191" s="359"/>
      <c r="B191" s="90"/>
      <c r="C191" s="363" t="s">
        <v>442</v>
      </c>
      <c r="D191" s="77"/>
      <c r="E191" s="360"/>
      <c r="F191" s="356">
        <v>0.9</v>
      </c>
      <c r="G191" s="356">
        <v>3.55</v>
      </c>
      <c r="H191" s="115">
        <v>1.5</v>
      </c>
      <c r="I191" s="107">
        <v>2</v>
      </c>
      <c r="J191" s="368">
        <f t="shared" si="11"/>
        <v>17.04</v>
      </c>
    </row>
    <row r="192" spans="1:10">
      <c r="A192" s="359"/>
      <c r="B192" s="90"/>
      <c r="C192" s="362" t="s">
        <v>406</v>
      </c>
      <c r="D192" s="77"/>
      <c r="E192" s="360"/>
      <c r="F192" s="356">
        <v>24.45</v>
      </c>
      <c r="G192" s="356">
        <v>3.7</v>
      </c>
      <c r="H192" s="115">
        <v>1.58</v>
      </c>
      <c r="I192" s="107">
        <v>2</v>
      </c>
      <c r="J192" s="368">
        <f t="shared" si="11"/>
        <v>192.622</v>
      </c>
    </row>
    <row r="193" spans="1:10">
      <c r="A193" s="359"/>
      <c r="B193" s="90"/>
      <c r="C193" s="363" t="s">
        <v>407</v>
      </c>
      <c r="D193" s="77"/>
      <c r="E193" s="360"/>
      <c r="F193" s="356">
        <v>24.6</v>
      </c>
      <c r="G193" s="356">
        <v>2.8</v>
      </c>
      <c r="H193" s="115">
        <v>1.95</v>
      </c>
      <c r="I193" s="107">
        <v>2</v>
      </c>
      <c r="J193" s="368">
        <f t="shared" si="11"/>
        <v>148.68</v>
      </c>
    </row>
    <row r="194" spans="1:10">
      <c r="A194" s="359"/>
      <c r="B194" s="90"/>
      <c r="C194" s="362" t="s">
        <v>408</v>
      </c>
      <c r="D194" s="77"/>
      <c r="E194" s="360"/>
      <c r="F194" s="356">
        <v>12</v>
      </c>
      <c r="G194" s="356">
        <v>3.7</v>
      </c>
      <c r="H194" s="107">
        <v>2.05</v>
      </c>
      <c r="I194" s="107">
        <v>2</v>
      </c>
      <c r="J194" s="368">
        <f t="shared" si="11"/>
        <v>103.97</v>
      </c>
    </row>
    <row r="195" spans="1:10">
      <c r="A195" s="359"/>
      <c r="B195" s="90"/>
      <c r="C195" s="363" t="s">
        <v>443</v>
      </c>
      <c r="D195" s="77"/>
      <c r="E195" s="360"/>
      <c r="F195" s="356"/>
      <c r="G195" s="356"/>
      <c r="H195" s="115"/>
      <c r="I195" s="107"/>
      <c r="J195" s="368">
        <v>433.62</v>
      </c>
    </row>
    <row r="196" ht="47" customHeight="1" spans="1:10">
      <c r="A196" s="370" t="s">
        <v>187</v>
      </c>
      <c r="B196" s="90" t="str">
        <f>'ORÇAMENTO BÁSICO'!B67</f>
        <v>16.03.070 (EMLURB - 07/2018)</v>
      </c>
      <c r="C196" s="91" t="str">
        <f>'ORÇAMENTO BÁSICO'!C67</f>
        <v>PINTURA A BASE DE EMULSAO ACRILICA, CORALPLUS OU SIMILAR, EM PAREDES EXTERNAS, DUAS DEMAOS, SEM MASSA, INCLUSIVE APLICACAO DE SELADOR ACRI LICO, UMA DEMAO.</v>
      </c>
      <c r="D196" s="107" t="s">
        <v>56</v>
      </c>
      <c r="E196" s="360">
        <f>TRUNC(SUM(J197:J201),2)</f>
        <v>589.5</v>
      </c>
      <c r="F196" s="356"/>
      <c r="G196" s="356"/>
      <c r="H196" s="115"/>
      <c r="I196" s="107"/>
      <c r="J196" s="368"/>
    </row>
    <row r="197" spans="1:10">
      <c r="A197" s="359"/>
      <c r="B197" s="90"/>
      <c r="C197" s="363" t="s">
        <v>409</v>
      </c>
      <c r="D197" s="107"/>
      <c r="E197" s="360"/>
      <c r="F197" s="356">
        <v>30</v>
      </c>
      <c r="G197" s="356">
        <v>3</v>
      </c>
      <c r="H197" s="107"/>
      <c r="I197" s="107">
        <v>1</v>
      </c>
      <c r="J197" s="368">
        <f>((H197+F197)*I197)*G197</f>
        <v>90</v>
      </c>
    </row>
    <row r="198" spans="1:10">
      <c r="A198" s="359"/>
      <c r="B198" s="90"/>
      <c r="C198" s="362" t="s">
        <v>410</v>
      </c>
      <c r="D198" s="107"/>
      <c r="E198" s="360"/>
      <c r="F198" s="356">
        <v>21.75</v>
      </c>
      <c r="G198" s="356">
        <v>2</v>
      </c>
      <c r="H198" s="107"/>
      <c r="I198" s="107">
        <v>1</v>
      </c>
      <c r="J198" s="368">
        <f>((H198+F198)*I198)*G198</f>
        <v>43.5</v>
      </c>
    </row>
    <row r="199" spans="1:10">
      <c r="A199" s="359"/>
      <c r="B199" s="90"/>
      <c r="C199" s="362" t="s">
        <v>411</v>
      </c>
      <c r="D199" s="107"/>
      <c r="E199" s="360"/>
      <c r="F199" s="356">
        <v>22</v>
      </c>
      <c r="G199" s="356">
        <v>2</v>
      </c>
      <c r="H199" s="107"/>
      <c r="I199" s="107">
        <v>1</v>
      </c>
      <c r="J199" s="368">
        <f>((H199+F199)*I199)*G199</f>
        <v>44</v>
      </c>
    </row>
    <row r="200" spans="1:10">
      <c r="A200" s="359"/>
      <c r="B200" s="90"/>
      <c r="C200" s="363" t="s">
        <v>412</v>
      </c>
      <c r="D200" s="107"/>
      <c r="E200" s="360"/>
      <c r="F200" s="356">
        <v>14</v>
      </c>
      <c r="G200" s="356">
        <v>2</v>
      </c>
      <c r="H200" s="107"/>
      <c r="I200" s="107">
        <v>1</v>
      </c>
      <c r="J200" s="368">
        <f>((H200+F200)*I200)*G200</f>
        <v>28</v>
      </c>
    </row>
    <row r="201" spans="1:10">
      <c r="A201" s="359"/>
      <c r="B201" s="90"/>
      <c r="C201" s="363" t="s">
        <v>444</v>
      </c>
      <c r="D201" s="107"/>
      <c r="E201" s="360"/>
      <c r="F201" s="356">
        <v>40</v>
      </c>
      <c r="G201" s="356">
        <v>2</v>
      </c>
      <c r="H201" s="115">
        <v>24</v>
      </c>
      <c r="I201" s="107">
        <v>3</v>
      </c>
      <c r="J201" s="368">
        <f>((H201+F201)*I201)*G201</f>
        <v>384</v>
      </c>
    </row>
    <row r="202" ht="47.25" spans="1:10">
      <c r="A202" s="370" t="s">
        <v>190</v>
      </c>
      <c r="B202" s="375" t="str">
        <f>'ORÇAMENTO BÁSICO'!B68</f>
        <v>16.04.050 (EMLURB - 07/2018)</v>
      </c>
      <c r="C202" s="376" t="str">
        <f>'ORÇAMENTO BÁSICO'!C68</f>
        <v>PINTURA A OLEO EM ESQUADRIAS DE MADEIRA, DUAS DEMAOS, COM APARELHAMENTO E SEM EMASSAMENTO, INCLUSIVE APLICACAO DE FUNDO SINTETICO NIVELA DOR BRANCO FOSCO, UMA DEMAO.</v>
      </c>
      <c r="D202" s="77" t="s">
        <v>56</v>
      </c>
      <c r="E202" s="360">
        <f>J202</f>
        <v>73.71</v>
      </c>
      <c r="F202" s="115">
        <v>0.9</v>
      </c>
      <c r="G202" s="107">
        <v>2.1</v>
      </c>
      <c r="H202" s="115">
        <v>13</v>
      </c>
      <c r="I202" s="107">
        <v>3</v>
      </c>
      <c r="J202" s="368">
        <f>F202*G202*H202*I202</f>
        <v>73.71</v>
      </c>
    </row>
    <row r="203" ht="31.5" spans="1:10">
      <c r="A203" s="370" t="s">
        <v>193</v>
      </c>
      <c r="B203" s="375" t="str">
        <f>'ORÇAMENTO BÁSICO'!B69</f>
        <v>16.04.100 (EMLURB - 07/2018)</v>
      </c>
      <c r="C203" s="108" t="str">
        <f>'ORÇAMENTO BÁSICO'!C69</f>
        <v>PINTURA COM ESMALTE SINTETICO EM ESQUADRIA DE FERRO, DUAS DEMAOS, COM RASPAGEM E APARELHAMENTO COM ZARCAO.</v>
      </c>
      <c r="D203" s="77" t="s">
        <v>56</v>
      </c>
      <c r="E203" s="360">
        <f>J203+J204</f>
        <v>28.17</v>
      </c>
      <c r="F203" s="115">
        <v>2.1</v>
      </c>
      <c r="G203" s="107">
        <v>0.9</v>
      </c>
      <c r="H203" s="115"/>
      <c r="I203" s="107">
        <v>13</v>
      </c>
      <c r="J203" s="368">
        <f>F203*G203*I203</f>
        <v>24.57</v>
      </c>
    </row>
    <row r="204" spans="1:10">
      <c r="A204" s="370"/>
      <c r="B204" s="375"/>
      <c r="C204" s="108"/>
      <c r="D204" s="77"/>
      <c r="E204" s="360"/>
      <c r="F204" s="115">
        <v>1.5</v>
      </c>
      <c r="G204" s="107">
        <v>0.8</v>
      </c>
      <c r="H204" s="115"/>
      <c r="I204" s="107">
        <v>3</v>
      </c>
      <c r="J204" s="368">
        <f>F204*G204*I204</f>
        <v>3.6</v>
      </c>
    </row>
    <row r="205" ht="9" customHeight="1" spans="1:10">
      <c r="A205" s="370"/>
      <c r="B205" s="375"/>
      <c r="C205" s="108"/>
      <c r="D205" s="92"/>
      <c r="E205" s="360"/>
      <c r="F205" s="115"/>
      <c r="G205" s="107"/>
      <c r="H205" s="115"/>
      <c r="I205" s="107"/>
      <c r="J205" s="368"/>
    </row>
    <row r="206" s="54" customFormat="1" ht="28" customHeight="1" spans="1:10">
      <c r="A206" s="351" t="s">
        <v>26</v>
      </c>
      <c r="B206" s="352" t="s">
        <v>196</v>
      </c>
      <c r="C206" s="352"/>
      <c r="D206" s="352"/>
      <c r="E206" s="352"/>
      <c r="F206" s="352"/>
      <c r="G206" s="352"/>
      <c r="H206" s="352"/>
      <c r="I206" s="352"/>
      <c r="J206" s="352"/>
    </row>
    <row r="207" ht="33" customHeight="1" spans="1:10">
      <c r="A207" s="370" t="s">
        <v>197</v>
      </c>
      <c r="B207" s="90" t="str">
        <f>'ORÇAMENTO BÁSICO'!B72</f>
        <v>06.03.010 (EMLURB - 07/2018)</v>
      </c>
      <c r="C207" s="371" t="str">
        <f>'ORÇAMENTO BÁSICO'!C72</f>
        <v>CONCRETO NAO ESTRUTURAL (1 4 8) PARA LASTROS DE PISOS E FUNDACOES, LANCADO E ADENSADO.</v>
      </c>
      <c r="D207" s="96" t="s">
        <v>66</v>
      </c>
      <c r="E207" s="360">
        <f>J207</f>
        <v>45</v>
      </c>
      <c r="F207" s="115">
        <v>30</v>
      </c>
      <c r="G207" s="107">
        <v>0.1</v>
      </c>
      <c r="H207" s="115">
        <v>15</v>
      </c>
      <c r="I207" s="107"/>
      <c r="J207" s="368">
        <f>F207*G207*H207</f>
        <v>45</v>
      </c>
    </row>
    <row r="208" ht="47.25" spans="1:10">
      <c r="A208" s="370" t="s">
        <v>198</v>
      </c>
      <c r="B208" s="107" t="str">
        <f>'ORÇAMENTO BÁSICO'!B73</f>
        <v>13.03.030 (EMLURB - 07/2018)</v>
      </c>
      <c r="C208" s="108" t="str">
        <f>'ORÇAMENTO BÁSICO'!C73</f>
        <v>PISO CIMENTADO COM ARGAMASSA DE CIMENTO E AREIA NO TRACO 1 3, COM 2,0 CM DE ESPESSURA E JUNTAS DE MADEIRA FORMANDO QUADROS DE 2,0 X 2,0 M, E COM ACABAMENTO LISO.</v>
      </c>
      <c r="D208" s="96" t="s">
        <v>56</v>
      </c>
      <c r="E208" s="360">
        <f>J208</f>
        <v>450</v>
      </c>
      <c r="F208" s="115">
        <v>30</v>
      </c>
      <c r="G208" s="107"/>
      <c r="H208" s="115">
        <v>15</v>
      </c>
      <c r="I208" s="107"/>
      <c r="J208" s="368">
        <f>F208*H208</f>
        <v>450</v>
      </c>
    </row>
    <row r="209" ht="63" spans="1:10">
      <c r="A209" s="370" t="s">
        <v>201</v>
      </c>
      <c r="B209" s="107" t="str">
        <f>'ORÇAMENTO BÁSICO'!B74</f>
        <v>16.08.010 (EMLURB - 07/2018)</v>
      </c>
      <c r="C209" s="108" t="str">
        <f>'ORÇAMENTO BÁSICO'!C74</f>
        <v>PINTURA A BASE DE TINTA ACRILICA CORALPISO, NOVACOR OU SIMILAR PARA PISOS DE QUADRAS DE ESPORTES, ESTACIONAMENTOS, PASSEIOS, ETC (02 DEMAOS), INCLUSIVE PREPARO DA SUPERFICIE QUE DEVE ESTAR LIMPA, SECA E ISENTA DE GORDURA, GRAXA OU MOFO.</v>
      </c>
      <c r="D209" s="77" t="s">
        <v>56</v>
      </c>
      <c r="E209" s="360">
        <f>J209</f>
        <v>450</v>
      </c>
      <c r="F209" s="115">
        <v>30</v>
      </c>
      <c r="G209" s="107"/>
      <c r="H209" s="115">
        <v>15</v>
      </c>
      <c r="I209" s="107"/>
      <c r="J209" s="368">
        <f>F209*H209</f>
        <v>450</v>
      </c>
    </row>
    <row r="210" ht="63" spans="1:10">
      <c r="A210" s="370" t="s">
        <v>204</v>
      </c>
      <c r="B210" s="107" t="str">
        <f>'ORÇAMENTO BÁSICO'!B75</f>
        <v>16.08.100 (EMLURB - 07/2018)</v>
      </c>
      <c r="C210" s="108" t="str">
        <f>'ORÇAMENTO BÁSICO'!C75</f>
        <v>DEMARCACAO E PINTURA A BASE DE TINTA ACRILICA CORALPISO, NOVACOR OU SIMILAR, COM TRINCHA DE FAIXA COM 5CM DE LARGURA PARA QUADRAS DE ESPORTES, ESTACIONAMENTOS, ETC (02 DEMAOS), INCLUSIVE PREPARO DA SUPERFICIE QUE DEVE ESTAR LIMPA SECA E ISENTA DE GORDURA, GRAXA OU MOFO. </v>
      </c>
      <c r="D210" s="77" t="s">
        <v>207</v>
      </c>
      <c r="E210" s="360">
        <f>J210</f>
        <v>200</v>
      </c>
      <c r="F210" s="115">
        <v>200</v>
      </c>
      <c r="G210" s="107"/>
      <c r="H210" s="115"/>
      <c r="I210" s="107"/>
      <c r="J210" s="368">
        <v>200</v>
      </c>
    </row>
    <row r="211" ht="9" customHeight="1" spans="1:10">
      <c r="A211" s="370"/>
      <c r="B211" s="107"/>
      <c r="C211" s="108"/>
      <c r="D211" s="92"/>
      <c r="E211" s="360"/>
      <c r="F211" s="115"/>
      <c r="G211" s="107"/>
      <c r="H211" s="115"/>
      <c r="I211" s="107"/>
      <c r="J211" s="368"/>
    </row>
    <row r="212" s="54" customFormat="1" ht="28.5" customHeight="1" spans="1:10">
      <c r="A212" s="351" t="s">
        <v>28</v>
      </c>
      <c r="B212" s="352" t="s">
        <v>208</v>
      </c>
      <c r="C212" s="352"/>
      <c r="D212" s="352"/>
      <c r="E212" s="352"/>
      <c r="F212" s="352"/>
      <c r="G212" s="352"/>
      <c r="H212" s="352"/>
      <c r="I212" s="352"/>
      <c r="J212" s="352"/>
    </row>
    <row r="213" ht="33" customHeight="1" spans="1:10">
      <c r="A213" s="370" t="s">
        <v>209</v>
      </c>
      <c r="B213" s="107" t="str">
        <f>'ORÇAMENTO BÁSICO'!B78</f>
        <v>18.02.020 (EMLURB - 07/2018)</v>
      </c>
      <c r="C213" s="108" t="str">
        <f>'ORÇAMENTO BÁSICO'!C78</f>
        <v>POSTE DE CONCRETO SECCAO DUPLO T, 100/8 , COM ENGASTAMENTO DIRETO NO SOLO DE 1,40 M, INCLUSIVE COLOCACAO.</v>
      </c>
      <c r="D213" s="77" t="s">
        <v>212</v>
      </c>
      <c r="E213" s="360">
        <v>1</v>
      </c>
      <c r="F213" s="115"/>
      <c r="G213" s="107"/>
      <c r="H213" s="115"/>
      <c r="I213" s="107">
        <v>1</v>
      </c>
      <c r="J213" s="368">
        <f t="shared" ref="J213:J228" si="12">E213</f>
        <v>1</v>
      </c>
    </row>
    <row r="214" ht="31.5" spans="1:10">
      <c r="A214" s="370" t="s">
        <v>213</v>
      </c>
      <c r="B214" s="107" t="str">
        <f>'ORÇAMENTO BÁSICO'!B79</f>
        <v>18.05.100 (EMLURB - 07/2018)</v>
      </c>
      <c r="C214" s="113" t="str">
        <f>'ORÇAMENTO BÁSICO'!C79</f>
        <v>FORNECIMENTO DE CURVA DE FERRO GALVANIZADO DE 2 POL. (LEVE), INCLUSIVE ASSENTAMENTO.</v>
      </c>
      <c r="D214" s="111" t="s">
        <v>212</v>
      </c>
      <c r="E214" s="360">
        <v>2</v>
      </c>
      <c r="F214" s="115"/>
      <c r="G214" s="107"/>
      <c r="H214" s="115"/>
      <c r="I214" s="107">
        <v>1</v>
      </c>
      <c r="J214" s="368">
        <f t="shared" si="12"/>
        <v>2</v>
      </c>
    </row>
    <row r="215" ht="31.5" spans="1:10">
      <c r="A215" s="370" t="s">
        <v>216</v>
      </c>
      <c r="B215" s="107" t="str">
        <f>'ORÇAMENTO BÁSICO'!B80</f>
        <v>18.04.100 (EMLURB - 07/2018)</v>
      </c>
      <c r="C215" s="113" t="str">
        <f>'ORÇAMENTO BÁSICO'!C80</f>
        <v>FORNECIMENTO DE ELETRODUTO DE FERRO GALVANIZA DO DE 2 POL. (LEVE), INCLUSIVE ASSENTAMENTO.</v>
      </c>
      <c r="D215" s="111" t="s">
        <v>207</v>
      </c>
      <c r="E215" s="360">
        <v>12</v>
      </c>
      <c r="F215" s="115"/>
      <c r="G215" s="107"/>
      <c r="H215" s="115"/>
      <c r="I215" s="107">
        <v>10</v>
      </c>
      <c r="J215" s="368">
        <f t="shared" si="12"/>
        <v>12</v>
      </c>
    </row>
    <row r="216" ht="63" spans="1:10">
      <c r="A216" s="370" t="s">
        <v>220</v>
      </c>
      <c r="B216" s="107" t="str">
        <f>'ORÇAMENTO BÁSICO'!B81</f>
        <v>18.09.030 (EMLURB - 07/2018)</v>
      </c>
      <c r="C216" s="113" t="str">
        <f>'ORÇAMENTO BÁSICO'!C81</f>
        <v>FORNECIMENTO E ASSENTAMENTO DE CAIXA PARA MEDICAO TRIFASICA E CAIXA PARA DISJUNTOR TRIFASICO DE POLICARBONATO E NORYL CINZA, INCLUSIVE BUCHAS PLASTICAS E PARAFUSOS PARA INSTALACAO DAS CAIXAS EM PAREDE (PADRAO CELPE) SEM DISJUNTOR.</v>
      </c>
      <c r="D216" s="77" t="s">
        <v>212</v>
      </c>
      <c r="E216" s="360">
        <v>1</v>
      </c>
      <c r="F216" s="115"/>
      <c r="G216" s="107"/>
      <c r="H216" s="115"/>
      <c r="I216" s="107">
        <v>1</v>
      </c>
      <c r="J216" s="368">
        <f t="shared" si="12"/>
        <v>1</v>
      </c>
    </row>
    <row r="217" ht="31.5" spans="1:10">
      <c r="A217" s="370" t="s">
        <v>223</v>
      </c>
      <c r="B217" s="107" t="str">
        <f>'ORÇAMENTO BÁSICO'!B82</f>
        <v>18.16.005 (EMLURB - 07/2018)</v>
      </c>
      <c r="C217" s="113" t="str">
        <f>'ORÇAMENTO BÁSICO'!C82</f>
        <v>TOMADA DE EMBUTIR (2P+1T) C/PLACA P/ CAIXA DE 4 X 2 POL.,10A, 250V, PIAL (LINHA SILENTOQUE OU SIMILAR, INCLUSIVE INSTALACAO.</v>
      </c>
      <c r="D217" s="111" t="s">
        <v>212</v>
      </c>
      <c r="E217" s="360">
        <v>15</v>
      </c>
      <c r="F217" s="115"/>
      <c r="G217" s="107"/>
      <c r="H217" s="115"/>
      <c r="I217" s="107">
        <v>10</v>
      </c>
      <c r="J217" s="368">
        <f t="shared" si="12"/>
        <v>15</v>
      </c>
    </row>
    <row r="218" ht="31.5" spans="1:10">
      <c r="A218" s="370" t="s">
        <v>226</v>
      </c>
      <c r="B218" s="107" t="str">
        <f>'ORÇAMENTO BÁSICO'!B83</f>
        <v>18.18.010 (EMLURB - 07/2018)</v>
      </c>
      <c r="C218" s="113" t="str">
        <f>'ORÇAMENTO BÁSICO'!C83</f>
        <v>INTERRUPTOR DE EMBUTIR DE UMA SECCAO PARA CAIXA DE 4 X 2 POL., COM PLACA, 10A, 250V, PIAL (LINHA SILENTOQUE) OU SIMILAR, INCLUSIVE INSTALACAO.</v>
      </c>
      <c r="D218" s="111" t="s">
        <v>212</v>
      </c>
      <c r="E218" s="360">
        <v>20</v>
      </c>
      <c r="F218" s="115"/>
      <c r="G218" s="107"/>
      <c r="H218" s="115"/>
      <c r="I218" s="107">
        <v>20</v>
      </c>
      <c r="J218" s="368">
        <f t="shared" si="12"/>
        <v>20</v>
      </c>
    </row>
    <row r="219" ht="47.25" spans="1:10">
      <c r="A219" s="370" t="s">
        <v>229</v>
      </c>
      <c r="B219" s="107" t="str">
        <f>'ORÇAMENTO BÁSICO'!B84</f>
        <v>18.19.025 (EMLURB - 07/2018)</v>
      </c>
      <c r="C219" s="113" t="str">
        <f>'ORÇAMENTO BÁSICO'!C84</f>
        <v>CABO DE COBRE, TEMPERA MOLE, ENCORDOAMENTO CLAS SE 2, ISOLAMENTO DE PVC - 70 C, TIPO BWF, 750V FOREPLAST OU SIMILAR, S.M. - 2,5 MM2, INCLUSIVE INSTALACAO EM ELETRODUTO.</v>
      </c>
      <c r="D219" s="77" t="s">
        <v>207</v>
      </c>
      <c r="E219" s="360">
        <v>3000</v>
      </c>
      <c r="F219" s="115"/>
      <c r="G219" s="107"/>
      <c r="H219" s="115"/>
      <c r="I219" s="107">
        <v>600</v>
      </c>
      <c r="J219" s="368">
        <f t="shared" si="12"/>
        <v>3000</v>
      </c>
    </row>
    <row r="220" ht="47.25" spans="1:10">
      <c r="A220" s="370" t="s">
        <v>232</v>
      </c>
      <c r="B220" s="107" t="str">
        <f>'ORÇAMENTO BÁSICO'!B85</f>
        <v>18.19.030 (EMLURB - 07/2018)</v>
      </c>
      <c r="C220" s="113" t="str">
        <f>'ORÇAMENTO BÁSICO'!C85</f>
        <v> CABO DE COBRE, TEMPERA MOLE, ENCORDOAMENTO CLASSE 2, ISOLAMENTO DE PVC - 70 C, TIPO BWF, 750V FOREPLAST OU SIMILAR, S.M. - 4 MM2, INCLUSIVE INSTALACAO EM ELETRODUTO.</v>
      </c>
      <c r="D220" s="111" t="s">
        <v>207</v>
      </c>
      <c r="E220" s="360">
        <v>70</v>
      </c>
      <c r="F220" s="115"/>
      <c r="G220" s="107"/>
      <c r="H220" s="115"/>
      <c r="I220" s="107">
        <v>600</v>
      </c>
      <c r="J220" s="368">
        <f t="shared" si="12"/>
        <v>70</v>
      </c>
    </row>
    <row r="221" ht="47.25" spans="1:10">
      <c r="A221" s="370" t="s">
        <v>235</v>
      </c>
      <c r="B221" s="107" t="str">
        <f>'ORÇAMENTO BÁSICO'!B86</f>
        <v>18.19.041 (EMLURB - 07/2018)</v>
      </c>
      <c r="C221" s="113" t="str">
        <f>'ORÇAMENTO BÁSICO'!C86</f>
        <v>CABO DE COBRE, TEMPERA MOLE ,ENCORDOAMENTO CLASSE 2, ISOLAMENTO DE PVC - 70 C, TIPO BWF, 750V FOREPLAST OU SIMILAR, S.M. - 10 MM2, INCLUSIVE INSTALACAO EM ELETRODUTO.</v>
      </c>
      <c r="D221" s="111" t="s">
        <v>207</v>
      </c>
      <c r="E221" s="360">
        <v>115</v>
      </c>
      <c r="F221" s="115"/>
      <c r="G221" s="107"/>
      <c r="H221" s="115"/>
      <c r="I221" s="107">
        <v>60</v>
      </c>
      <c r="J221" s="368">
        <f t="shared" si="12"/>
        <v>115</v>
      </c>
    </row>
    <row r="222" ht="47.25" spans="1:10">
      <c r="A222" s="370" t="s">
        <v>238</v>
      </c>
      <c r="B222" s="107" t="str">
        <f>'ORÇAMENTO BÁSICO'!B87</f>
        <v>18.19.042 (EMLURB - 07/2018)</v>
      </c>
      <c r="C222" s="113" t="str">
        <f>'ORÇAMENTO BÁSICO'!C87</f>
        <v>CABO DE COBRE, TEMPERA MOLE ,ENCORDOAMENTO CLASSE 2, ISOLAMENTO DE PVC - 70 C, TIPO BWF, 750V FOREPLAST OU SIMILAR, S.M. - 16 MM3, INCLUSIVE INSTALACAO EM ELETRODUTO.</v>
      </c>
      <c r="D222" s="111" t="s">
        <v>207</v>
      </c>
      <c r="E222" s="360">
        <v>90</v>
      </c>
      <c r="F222" s="115"/>
      <c r="G222" s="107"/>
      <c r="H222" s="115"/>
      <c r="I222" s="107">
        <v>61</v>
      </c>
      <c r="J222" s="368">
        <f t="shared" si="12"/>
        <v>90</v>
      </c>
    </row>
    <row r="223" ht="33.75" customHeight="1" spans="1:10">
      <c r="A223" s="370" t="s">
        <v>241</v>
      </c>
      <c r="B223" s="107" t="str">
        <f>'ORÇAMENTO BÁSICO'!B88</f>
        <v>18.20.040 (EMLURB - 07/2018)</v>
      </c>
      <c r="C223" s="113" t="str">
        <f>'ORÇAMENTO BÁSICO'!C88</f>
        <v>DISJUNTOR TRIPOLAR TERMOMAGNETICO DE 60 A 100A, 380V, PIAL OU SIMILAR, INCLUSIVE INSTALACAO EM QUADRO DE DISTRIBUICAO.</v>
      </c>
      <c r="D223" s="111" t="s">
        <v>212</v>
      </c>
      <c r="E223" s="360">
        <v>1</v>
      </c>
      <c r="F223" s="115"/>
      <c r="G223" s="107"/>
      <c r="H223" s="115"/>
      <c r="I223" s="107">
        <v>1</v>
      </c>
      <c r="J223" s="368">
        <f t="shared" si="12"/>
        <v>1</v>
      </c>
    </row>
    <row r="224" ht="47.25" spans="1:10">
      <c r="A224" s="370" t="s">
        <v>244</v>
      </c>
      <c r="B224" s="107" t="str">
        <f>'ORÇAMENTO BÁSICO'!B89</f>
        <v>18.25.041 (EMLURB - 07/2018)</v>
      </c>
      <c r="C224" s="113" t="str">
        <f>'ORÇAMENTO BÁSICO'!C89</f>
        <v>FORNECIMENTO DE LUMINARIA FLUORESCENTE DE EMBUTIR COM ALETAS DE ALUMINIO ANODIZADO 2X32W, FEA 02 LUMALUX OU SIM, INCLUSIVE LAMPADA, REATOR ELETRONICO, DEMAIS ACESSORIOS E INSTALACAO.</v>
      </c>
      <c r="D224" s="111" t="s">
        <v>212</v>
      </c>
      <c r="E224" s="360">
        <v>20</v>
      </c>
      <c r="F224" s="115"/>
      <c r="G224" s="107"/>
      <c r="H224" s="115"/>
      <c r="I224" s="107">
        <v>20</v>
      </c>
      <c r="J224" s="368">
        <f t="shared" si="12"/>
        <v>20</v>
      </c>
    </row>
    <row r="225" ht="31.5" spans="1:10">
      <c r="A225" s="370" t="s">
        <v>247</v>
      </c>
      <c r="B225" s="107" t="str">
        <f>'ORÇAMENTO BÁSICO'!B90</f>
        <v>18.20.010 (EMLURB - 07/2018)</v>
      </c>
      <c r="C225" s="113" t="str">
        <f>'ORÇAMENTO BÁSICO'!C90</f>
        <v>DISJUNTOR MONOPOLAR TERMOMAGNETICO ATE 30A, 220V, PIAL OU SIMILAR, INCLUSIVE INSTALACAO EM QUADRO DE DISTRIBUICAO.</v>
      </c>
      <c r="D225" s="111" t="s">
        <v>212</v>
      </c>
      <c r="E225" s="360">
        <v>10</v>
      </c>
      <c r="F225" s="115"/>
      <c r="G225" s="107"/>
      <c r="H225" s="115"/>
      <c r="I225" s="107">
        <v>10</v>
      </c>
      <c r="J225" s="368">
        <f t="shared" si="12"/>
        <v>10</v>
      </c>
    </row>
    <row r="226" ht="45.75" customHeight="1" spans="1:10">
      <c r="A226" s="370" t="s">
        <v>250</v>
      </c>
      <c r="B226" s="107" t="str">
        <f>'ORÇAMENTO BÁSICO'!B91</f>
        <v>18.26.010 (EMLURB - 07/2018)</v>
      </c>
      <c r="C226" s="113" t="str">
        <f>'ORÇAMENTO BÁSICO'!C91</f>
        <v>ASSENTAMENTO DE HASTE DE ATERRAMENTO DE 5/8"X 2.40 M COPPERWELD OU SIMILAR, COM CONECTOR PARALELO E PARAFUSOS (INCLUSIVE O FORNECIMENTO DO MATERIAL).</v>
      </c>
      <c r="D226" s="111" t="s">
        <v>212</v>
      </c>
      <c r="E226" s="360">
        <v>2</v>
      </c>
      <c r="F226" s="115"/>
      <c r="G226" s="107"/>
      <c r="H226" s="115"/>
      <c r="I226" s="107">
        <v>2</v>
      </c>
      <c r="J226" s="368">
        <f t="shared" si="12"/>
        <v>2</v>
      </c>
    </row>
    <row r="227" ht="31.5" spans="1:10">
      <c r="A227" s="370" t="s">
        <v>253</v>
      </c>
      <c r="B227" s="107" t="str">
        <f>'ORÇAMENTO BÁSICO'!B92</f>
        <v>18.26.030 (EMLURB - 07/2018)</v>
      </c>
      <c r="C227" s="113" t="str">
        <f>'ORÇAMENTO BÁSICO'!C92</f>
        <v>ASSENTAMENTO DE CHAVE DE BOIA AUTOMATICA, 15A, INFERIOR MARCA LENZ OU SIMILAR (INCLUSIVE O FORNECIMENTO DO MATERIAL). </v>
      </c>
      <c r="D227" s="111" t="s">
        <v>212</v>
      </c>
      <c r="E227" s="360">
        <v>1</v>
      </c>
      <c r="F227" s="115"/>
      <c r="G227" s="107"/>
      <c r="H227" s="115"/>
      <c r="I227" s="107">
        <v>1</v>
      </c>
      <c r="J227" s="368">
        <f t="shared" si="12"/>
        <v>1</v>
      </c>
    </row>
    <row r="228" ht="31.5" spans="1:10">
      <c r="A228" s="370" t="s">
        <v>256</v>
      </c>
      <c r="B228" s="107" t="str">
        <f>'ORÇAMENTO BÁSICO'!B93</f>
        <v>18.26.030 (EMLURB - 07/2018)</v>
      </c>
      <c r="C228" s="113" t="str">
        <f>'ORÇAMENTO BÁSICO'!C93</f>
        <v>ASSENTAMENTO DE CHAVE DE BOIA AUTOMATICA, 15A, SUPERIOR MARCA LENZ OU SIMILAR (INCLUSIVE O FORNECIMENTO DO MATERIAL). </v>
      </c>
      <c r="D228" s="111" t="s">
        <v>212</v>
      </c>
      <c r="E228" s="360">
        <v>1</v>
      </c>
      <c r="F228" s="115"/>
      <c r="G228" s="107"/>
      <c r="H228" s="115"/>
      <c r="I228" s="107">
        <v>1</v>
      </c>
      <c r="J228" s="368">
        <f t="shared" si="12"/>
        <v>1</v>
      </c>
    </row>
    <row r="229" ht="9" customHeight="1" spans="1:10">
      <c r="A229" s="370"/>
      <c r="B229" s="107"/>
      <c r="C229" s="113"/>
      <c r="D229" s="114"/>
      <c r="E229" s="360"/>
      <c r="F229" s="115"/>
      <c r="G229" s="107"/>
      <c r="H229" s="115"/>
      <c r="I229" s="107"/>
      <c r="J229" s="368"/>
    </row>
    <row r="230" s="54" customFormat="1" ht="30.75" customHeight="1" spans="1:10">
      <c r="A230" s="351" t="s">
        <v>30</v>
      </c>
      <c r="B230" s="352" t="s">
        <v>258</v>
      </c>
      <c r="C230" s="352"/>
      <c r="D230" s="352"/>
      <c r="E230" s="352"/>
      <c r="F230" s="352"/>
      <c r="G230" s="352"/>
      <c r="H230" s="352"/>
      <c r="I230" s="352"/>
      <c r="J230" s="352"/>
    </row>
    <row r="231" ht="47.25" spans="1:10">
      <c r="A231" s="377" t="s">
        <v>259</v>
      </c>
      <c r="B231" s="107" t="str">
        <f>'ORÇAMENTO BÁSICO'!B96</f>
        <v>19.05.020 (EMLURB - 07/2018)</v>
      </c>
      <c r="C231" s="91" t="str">
        <f>'ORÇAMENTO BÁSICO'!C96</f>
        <v>FORNECIMENTO E ASSENTAMENTO DE TUBOS SOLDAVEIS DE PVC RIGIDO DIAM. 25 MM, INCLUSIVE CONEXOES E ABERTURA DE RASGOS EM ALVENARIA, PARA COLUNAS DE AGUA.</v>
      </c>
      <c r="D231" s="96" t="s">
        <v>207</v>
      </c>
      <c r="E231" s="360">
        <v>20</v>
      </c>
      <c r="F231" s="115"/>
      <c r="G231" s="107"/>
      <c r="H231" s="115"/>
      <c r="I231" s="107"/>
      <c r="J231" s="368">
        <f t="shared" ref="J231:J236" si="13">E231</f>
        <v>20</v>
      </c>
    </row>
    <row r="232" ht="34.5" customHeight="1" spans="1:10">
      <c r="A232" s="377" t="s">
        <v>262</v>
      </c>
      <c r="B232" s="107" t="str">
        <f>'ORÇAMENTO BÁSICO'!B97</f>
        <v>19.07.260 (EMLURB - 07/2018)</v>
      </c>
      <c r="C232" s="91" t="str">
        <f>'ORÇAMENTO BÁSICO'!C97</f>
        <v>FORNECIMENTO DE TORNEIRA DE PRESSAO PARA PIA DIAMETRO 1/2", REF. 1159 C-39, DECA OU SIMILAR, INCLUSIVE FIXACAO. </v>
      </c>
      <c r="D232" s="96" t="s">
        <v>212</v>
      </c>
      <c r="E232" s="360">
        <v>6</v>
      </c>
      <c r="F232" s="115"/>
      <c r="G232" s="107"/>
      <c r="H232" s="115"/>
      <c r="I232" s="107"/>
      <c r="J232" s="368">
        <f t="shared" si="13"/>
        <v>6</v>
      </c>
    </row>
    <row r="233" ht="31.5" spans="1:10">
      <c r="A233" s="377" t="s">
        <v>266</v>
      </c>
      <c r="B233" s="107" t="str">
        <f>'ORÇAMENTO BÁSICO'!B98</f>
        <v>19.07.365 (EMLURB - 07/2018)</v>
      </c>
      <c r="C233" s="91" t="str">
        <f>'ORÇAMENTO BÁSICO'!C98</f>
        <v>FORNECIMENTO DE REGISTRO DE GAVETA COM CANOPLA, ACABAMENTO CROMADO, REF. 1509, LINHA ASCOT, FABRIMAR OU SIMILAR, DIAM. 1/2 POL., INCLUSIVE FIXACAO.</v>
      </c>
      <c r="D233" s="96" t="s">
        <v>212</v>
      </c>
      <c r="E233" s="360">
        <v>3</v>
      </c>
      <c r="F233" s="115"/>
      <c r="G233" s="107"/>
      <c r="H233" s="115"/>
      <c r="I233" s="107"/>
      <c r="J233" s="368">
        <f t="shared" si="13"/>
        <v>3</v>
      </c>
    </row>
    <row r="234" spans="1:10">
      <c r="A234" s="377" t="s">
        <v>269</v>
      </c>
      <c r="B234" s="107" t="str">
        <f>'ORÇAMENTO BÁSICO'!B99</f>
        <v>19.07.525 (EMLURB - 07/2018)</v>
      </c>
      <c r="C234" s="91" t="str">
        <f>'ORÇAMENTO BÁSICO'!C99</f>
        <v>FORNECIMENTO DE BOMBA 3/4 HP, INCLUSIVE ACESSORIOS, FIXACAO E INSTALACAO.</v>
      </c>
      <c r="D234" s="96" t="s">
        <v>292</v>
      </c>
      <c r="E234" s="360">
        <v>1</v>
      </c>
      <c r="F234" s="115"/>
      <c r="G234" s="107"/>
      <c r="H234" s="115"/>
      <c r="I234" s="107"/>
      <c r="J234" s="368">
        <f t="shared" si="13"/>
        <v>1</v>
      </c>
    </row>
    <row r="235" ht="31.5" spans="1:10">
      <c r="A235" s="377" t="s">
        <v>273</v>
      </c>
      <c r="B235" s="107" t="str">
        <f>'ORÇAMENTO BÁSICO'!B100</f>
        <v>19.07.540 (EMLURB - 07/2018)</v>
      </c>
      <c r="C235" s="91" t="str">
        <f>'ORÇAMENTO BÁSICO'!C100</f>
        <v>FORNECIMENTO DE VALVULA DE RETENCAO VERTICAL, DIAMETRO DE 1 POLEGADA, INCLUSIVE INSTALACAO. </v>
      </c>
      <c r="D235" s="96" t="s">
        <v>212</v>
      </c>
      <c r="E235" s="360">
        <v>1</v>
      </c>
      <c r="F235" s="115"/>
      <c r="G235" s="107"/>
      <c r="H235" s="115"/>
      <c r="I235" s="107"/>
      <c r="J235" s="368">
        <f t="shared" si="13"/>
        <v>1</v>
      </c>
    </row>
    <row r="236" ht="31.5" spans="1:10">
      <c r="A236" s="377" t="s">
        <v>276</v>
      </c>
      <c r="B236" s="107" t="str">
        <f>'ORÇAMENTO BÁSICO'!B101</f>
        <v>19.07.570 (EMLURB - 07/2018)</v>
      </c>
      <c r="C236" s="91" t="str">
        <f>'ORÇAMENTO BÁSICO'!C101</f>
        <v>INSTALACAO DE TORNEIRA DE BOIA DIAM.3/4 POL., INCLUSIVE O FORNECIMENTO DA MESMA.</v>
      </c>
      <c r="D236" s="96" t="s">
        <v>292</v>
      </c>
      <c r="E236" s="360">
        <v>1</v>
      </c>
      <c r="F236" s="115"/>
      <c r="G236" s="107"/>
      <c r="H236" s="115"/>
      <c r="I236" s="107"/>
      <c r="J236" s="368">
        <f t="shared" si="13"/>
        <v>1</v>
      </c>
    </row>
    <row r="237" ht="9" customHeight="1" spans="1:10">
      <c r="A237" s="377"/>
      <c r="B237" s="107"/>
      <c r="C237" s="91"/>
      <c r="D237" s="89"/>
      <c r="E237" s="360"/>
      <c r="F237" s="115"/>
      <c r="G237" s="107"/>
      <c r="H237" s="115"/>
      <c r="I237" s="107"/>
      <c r="J237" s="368"/>
    </row>
    <row r="238" s="54" customFormat="1" ht="25.5" customHeight="1" spans="1:10">
      <c r="A238" s="351" t="s">
        <v>32</v>
      </c>
      <c r="B238" s="352" t="s">
        <v>279</v>
      </c>
      <c r="C238" s="352"/>
      <c r="D238" s="352"/>
      <c r="E238" s="352"/>
      <c r="F238" s="352"/>
      <c r="G238" s="352"/>
      <c r="H238" s="352"/>
      <c r="I238" s="352"/>
      <c r="J238" s="352"/>
    </row>
    <row r="239" ht="30" customHeight="1" spans="1:10">
      <c r="A239" s="377" t="s">
        <v>280</v>
      </c>
      <c r="B239" s="107" t="str">
        <f>'ORÇAMENTO BÁSICO'!B104</f>
        <v>05.01.010 (EMLURB - 07/2018)</v>
      </c>
      <c r="C239" s="108" t="str">
        <f>'ORÇAMENTO BÁSICO'!C104</f>
        <v>ESCAVACAO MANUAL EM TERRA ATE 1,50 M DE PROFUNDIDADE, SEM ESCORAMENTO. </v>
      </c>
      <c r="D239" s="77" t="s">
        <v>66</v>
      </c>
      <c r="E239" s="360">
        <f>J239</f>
        <v>59.2</v>
      </c>
      <c r="F239" s="115">
        <f>14+14+24+32+32+32</f>
        <v>148</v>
      </c>
      <c r="G239" s="107">
        <v>0.5</v>
      </c>
      <c r="H239" s="115">
        <v>0.8</v>
      </c>
      <c r="I239" s="107"/>
      <c r="J239" s="368">
        <f>F239*G239*H239</f>
        <v>59.2</v>
      </c>
    </row>
    <row r="240" ht="33" customHeight="1" spans="1:10">
      <c r="A240" s="377" t="s">
        <v>281</v>
      </c>
      <c r="B240" s="107" t="str">
        <f>'ORÇAMENTO BÁSICO'!B105</f>
        <v>21.16.010 (EMLURB - 07/2018)</v>
      </c>
      <c r="C240" s="91" t="str">
        <f>'ORÇAMENTO BÁSICO'!C105</f>
        <v>FORNECIMENTO E ASSENTAMENTO DE TUBO PEAD PERFURADO DIAM 100MM PARA COLETORES E SUB- COLETORES.</v>
      </c>
      <c r="D240" s="96" t="s">
        <v>207</v>
      </c>
      <c r="E240" s="360">
        <f>F240</f>
        <v>148</v>
      </c>
      <c r="F240" s="115">
        <f>F239</f>
        <v>148</v>
      </c>
      <c r="G240" s="107"/>
      <c r="H240" s="115"/>
      <c r="I240" s="107"/>
      <c r="J240" s="368"/>
    </row>
    <row r="241" ht="63" spans="1:10">
      <c r="A241" s="377" t="s">
        <v>284</v>
      </c>
      <c r="B241" s="107" t="str">
        <f>'ORÇAMENTO BÁSICO'!B106</f>
        <v>19.06.010 (EMLURB - 07/2018)</v>
      </c>
      <c r="C241" s="120" t="str">
        <f>'ORÇAMENTO BÁSICO'!C106</f>
        <v>CAIXA COLETORA DE INSPECAO OU DE AREIA C/ PAREDES EM ALVENARIA , LAJE DE TAMPA E DE FUNDO EM CONCRETO, REVESTIDA INTERNAMENTE COM ARGAMASSA DE CIMENTO E AREIA 1:4,DIMENSOES INTERNAS 0,50 X 0,50 M, COM PROFUNDIDADE ATE 0,8M.</v>
      </c>
      <c r="D241" s="96" t="s">
        <v>212</v>
      </c>
      <c r="E241" s="360">
        <v>10</v>
      </c>
      <c r="F241" s="115"/>
      <c r="G241" s="107"/>
      <c r="H241" s="115"/>
      <c r="I241" s="107"/>
      <c r="J241" s="368"/>
    </row>
    <row r="242" ht="63" spans="1:10">
      <c r="A242" s="377" t="s">
        <v>287</v>
      </c>
      <c r="B242" s="107" t="str">
        <f>'ORÇAMENTO BÁSICO'!B107</f>
        <v>19.06.020 (EMLURB - 07/2018)</v>
      </c>
      <c r="C242" s="120" t="str">
        <f>'ORÇAMENTO BÁSICO'!C107</f>
        <v>CAIXA COLETORA DE INSPECAO OU DE AREIA C/ PAREDES EM ALVENARIA, LAJE DE TAMPA E DE FUNDO EM CONCRETO, REVESTIDA INTERNAMENTE COM ARGAMASSA DE CIMENTO E AREIA 1:4, DIMENSOES INTERNAS 0,60 X 0,60 M, COM PROFUNDIDADE ATE 1,0M. </v>
      </c>
      <c r="D242" s="96" t="s">
        <v>212</v>
      </c>
      <c r="E242" s="360">
        <v>1</v>
      </c>
      <c r="F242" s="115"/>
      <c r="G242" s="107"/>
      <c r="H242" s="115"/>
      <c r="I242" s="107"/>
      <c r="J242" s="368"/>
    </row>
    <row r="243" ht="47.25" spans="1:10">
      <c r="A243" s="377" t="s">
        <v>290</v>
      </c>
      <c r="B243" s="107" t="str">
        <f>'ORÇAMENTO BÁSICO'!B108</f>
        <v>Composição 4</v>
      </c>
      <c r="C243" s="91" t="str">
        <f>'ORÇAMENTO BÁSICO'!C108</f>
        <v>FORNECIMENTO E INSTALAÇÃO DE MOTOBOMBA CENTRÍFUGA SUBMERSÍVEL PARA REALIZAR O RECALQUE DE ESGOTO SANITÁRIO, TENSÃO 220 V, VAZÃO 20 M³/H, POTÊNCIA 1,0 CV, RECALQUE 2" MODELO SCHNAIDER SÉRIE BCS OU SIMILAR</v>
      </c>
      <c r="D243" s="96" t="s">
        <v>292</v>
      </c>
      <c r="E243" s="360">
        <v>1</v>
      </c>
      <c r="F243" s="115"/>
      <c r="G243" s="107"/>
      <c r="H243" s="115"/>
      <c r="I243" s="107"/>
      <c r="J243" s="368"/>
    </row>
    <row r="244" ht="63" spans="1:10">
      <c r="A244" s="377" t="s">
        <v>293</v>
      </c>
      <c r="B244" s="107" t="str">
        <f>'ORÇAMENTO BÁSICO'!B109</f>
        <v>21.10.035 (EMLURB - 07/2018)</v>
      </c>
      <c r="C244" s="294" t="str">
        <f>'ORÇAMENTO BÁSICO'!C109</f>
        <v>FORNECIMENTO DE GEOTEXTIL TIPO BIDIM OP 30 OU SIMILAR COMO FILTRO EM SUBSTITUICAO A TRANSICAO GRANULOMETRICA EM ATERROS, GABIOES, ENROCAMENTO, RIP-RAPS, CONTENCOES, PROTECAO A EROSAO E ETC, INCLUSIVE APLICACAO.</v>
      </c>
      <c r="D244" s="111" t="s">
        <v>56</v>
      </c>
      <c r="E244" s="360">
        <f>J244</f>
        <v>458.8</v>
      </c>
      <c r="F244" s="115">
        <f>F239</f>
        <v>148</v>
      </c>
      <c r="G244" s="107"/>
      <c r="H244" s="115">
        <v>3.1</v>
      </c>
      <c r="I244" s="107"/>
      <c r="J244" s="368">
        <f>F244*H244</f>
        <v>458.8</v>
      </c>
    </row>
    <row r="245" ht="31.5" spans="1:10">
      <c r="A245" s="377" t="s">
        <v>296</v>
      </c>
      <c r="B245" s="354" t="str">
        <f>'ORÇAMENTO BÁSICO'!B110</f>
        <v>21.10.028 (EMLURB - 07/2018)</v>
      </c>
      <c r="C245" s="120" t="str">
        <f>'ORÇAMENTO BÁSICO'!C110</f>
        <v>EXECUCAO DE CAMADA DRENANTE COM BRITA 25MM, INCLUSIVE O FORNECIMENTO DA MESMA.</v>
      </c>
      <c r="D245" s="111" t="s">
        <v>66</v>
      </c>
      <c r="E245" s="360">
        <f>J245</f>
        <v>29.6</v>
      </c>
      <c r="F245" s="115">
        <f>F244</f>
        <v>148</v>
      </c>
      <c r="G245" s="107">
        <v>0.5</v>
      </c>
      <c r="H245" s="115">
        <v>0.8</v>
      </c>
      <c r="I245" s="369">
        <v>0.5</v>
      </c>
      <c r="J245" s="368">
        <f>(F245*G245*H245)*I245</f>
        <v>29.6</v>
      </c>
    </row>
    <row r="246" ht="31.5" spans="1:10">
      <c r="A246" s="377" t="s">
        <v>299</v>
      </c>
      <c r="B246" s="107" t="str">
        <f>'ORÇAMENTO BÁSICO'!B111</f>
        <v>21.10.030 (EMLURB - 07/2018)</v>
      </c>
      <c r="C246" s="120" t="str">
        <f>'ORÇAMENTO BÁSICO'!C111</f>
        <v>EXECUCAO DE CAMADA DRENANTE COM BRITA 38MM, INCLUSIVE O FORNECIMENTO DA MESMA.</v>
      </c>
      <c r="D246" s="77" t="s">
        <v>66</v>
      </c>
      <c r="E246" s="360">
        <f>J246</f>
        <v>29.6</v>
      </c>
      <c r="F246" s="115">
        <f>F245</f>
        <v>148</v>
      </c>
      <c r="G246" s="107">
        <f>G245</f>
        <v>0.5</v>
      </c>
      <c r="H246" s="115">
        <f>H245</f>
        <v>0.8</v>
      </c>
      <c r="I246" s="369">
        <v>0.5</v>
      </c>
      <c r="J246" s="368">
        <f>(F246*G246*H246)*I246</f>
        <v>29.6</v>
      </c>
    </row>
    <row r="247" ht="31.5" spans="1:10">
      <c r="A247" s="377" t="s">
        <v>302</v>
      </c>
      <c r="B247" s="90" t="str">
        <f>'ORÇAMENTO BÁSICO'!B112</f>
        <v>05.02.020 (EMLURB - 07/2018)</v>
      </c>
      <c r="C247" s="104" t="str">
        <f>'ORÇAMENTO BÁSICO'!C112</f>
        <v>REATERRO APILOADO DE VALAS EM CAMADAS DE 20CM DE ESPESSURA, COM APROVEITAMENTO DO MATERIAL ESCAVADO.</v>
      </c>
      <c r="D247" s="96" t="s">
        <v>66</v>
      </c>
      <c r="E247" s="360">
        <f>J247</f>
        <v>14.8</v>
      </c>
      <c r="F247" s="115">
        <f>F246</f>
        <v>148</v>
      </c>
      <c r="G247" s="107">
        <v>0.2</v>
      </c>
      <c r="H247" s="115">
        <v>0.5</v>
      </c>
      <c r="I247" s="107"/>
      <c r="J247" s="368">
        <f>F247*G247*H247</f>
        <v>14.8</v>
      </c>
    </row>
    <row r="248" spans="1:10">
      <c r="A248" s="377" t="s">
        <v>303</v>
      </c>
      <c r="B248" s="90" t="str">
        <f>'ORÇAMENTO BÁSICO'!B113</f>
        <v>13.01.030 (EMLURB - 07/2018)</v>
      </c>
      <c r="C248" s="371" t="str">
        <f>'ORÇAMENTO BÁSICO'!C113</f>
        <v>LASTRO DE PISO COM 5,0 CM DE ESPESSURA EM CONCRETO 1 4 8.</v>
      </c>
      <c r="D248" s="96" t="s">
        <v>56</v>
      </c>
      <c r="E248" s="360">
        <f>J248</f>
        <v>3.7</v>
      </c>
      <c r="F248" s="115">
        <f>F247</f>
        <v>148</v>
      </c>
      <c r="G248" s="107">
        <v>0.05</v>
      </c>
      <c r="H248" s="115">
        <v>0.5</v>
      </c>
      <c r="I248" s="107"/>
      <c r="J248" s="368">
        <f>F248*G248*H248</f>
        <v>3.7</v>
      </c>
    </row>
    <row r="249" ht="9" customHeight="1" spans="1:10">
      <c r="A249" s="377"/>
      <c r="B249" s="90"/>
      <c r="C249" s="371"/>
      <c r="D249" s="89"/>
      <c r="E249" s="360"/>
      <c r="F249" s="115"/>
      <c r="G249" s="107"/>
      <c r="H249" s="115"/>
      <c r="I249" s="107"/>
      <c r="J249" s="368"/>
    </row>
    <row r="250" s="54" customFormat="1" ht="29.25" customHeight="1" spans="1:10">
      <c r="A250" s="351" t="s">
        <v>34</v>
      </c>
      <c r="B250" s="352" t="s">
        <v>307</v>
      </c>
      <c r="C250" s="352"/>
      <c r="D250" s="352"/>
      <c r="E250" s="352"/>
      <c r="F250" s="352"/>
      <c r="G250" s="352"/>
      <c r="H250" s="352"/>
      <c r="I250" s="352"/>
      <c r="J250" s="352"/>
    </row>
    <row r="251" ht="29" customHeight="1" spans="1:10">
      <c r="A251" s="377" t="s">
        <v>308</v>
      </c>
      <c r="B251" s="83" t="str">
        <f>'ORÇAMENTO BÁSICO'!B116</f>
        <v>03.01.210 (EMLURB - 07/2018)</v>
      </c>
      <c r="C251" s="108" t="str">
        <f>'ORÇAMENTO BÁSICO'!C116</f>
        <v>DEMOLIÇÃO MANUAL DE LAJE PRÉ MOLDADA</v>
      </c>
      <c r="D251" s="77" t="s">
        <v>66</v>
      </c>
      <c r="E251" s="378">
        <v>0.74</v>
      </c>
      <c r="F251" s="115">
        <v>3.2</v>
      </c>
      <c r="G251" s="107">
        <v>0.1</v>
      </c>
      <c r="H251" s="115">
        <v>2.3</v>
      </c>
      <c r="I251" s="107"/>
      <c r="J251" s="368">
        <f>F251*G251*H251</f>
        <v>0.736</v>
      </c>
    </row>
    <row r="252" ht="31.5" spans="1:10">
      <c r="A252" s="377" t="s">
        <v>310</v>
      </c>
      <c r="B252" s="90" t="str">
        <f>'ORÇAMENTO BÁSICO'!B117</f>
        <v>08.04.010 (EMLURB - 07/2018)</v>
      </c>
      <c r="C252" s="371" t="str">
        <f>'ORÇAMENTO BÁSICO'!C117</f>
        <v>IMPERMEABILIZACAO, EMPREGANDO ARGAMASSA DE CIMENTO E AREIA GROSSA NO TRACO 1:3 COM SIKA 1 -ESPESSURA DE 3 CM.</v>
      </c>
      <c r="D252" s="96" t="s">
        <v>56</v>
      </c>
      <c r="E252" s="360">
        <f>J252</f>
        <v>15</v>
      </c>
      <c r="F252" s="115">
        <v>3</v>
      </c>
      <c r="G252" s="107">
        <v>1.5</v>
      </c>
      <c r="H252" s="115">
        <v>2</v>
      </c>
      <c r="I252" s="107">
        <v>2</v>
      </c>
      <c r="J252" s="368">
        <f>((F252+H252)*2)*G252</f>
        <v>15</v>
      </c>
    </row>
    <row r="253" ht="31.5" spans="1:10">
      <c r="A253" s="377" t="s">
        <v>313</v>
      </c>
      <c r="B253" s="90" t="str">
        <f>'ORÇAMENTO BÁSICO'!B118</f>
        <v>11.05.010 (EMLURB - 07/2018)</v>
      </c>
      <c r="C253" s="91" t="str">
        <f>'ORÇAMENTO BÁSICO'!C118</f>
        <v>REVESTIMENTO COM ARGAMASSA DE CIMENTO E AREIA NO TRACO 1 3, COM 2,0 CM DE ESPESSURA.</v>
      </c>
      <c r="D253" s="96" t="s">
        <v>56</v>
      </c>
      <c r="E253" s="360">
        <f>J253</f>
        <v>6</v>
      </c>
      <c r="F253" s="115">
        <v>3</v>
      </c>
      <c r="G253" s="107"/>
      <c r="H253" s="115">
        <v>2</v>
      </c>
      <c r="I253" s="107"/>
      <c r="J253" s="368">
        <f>F253*H253</f>
        <v>6</v>
      </c>
    </row>
    <row r="254" ht="63" spans="1:10">
      <c r="A254" s="377" t="s">
        <v>316</v>
      </c>
      <c r="B254" s="90" t="str">
        <f>'ORÇAMENTO BÁSICO'!B119</f>
        <v>08.04.055 (EMLURB - 07/2018)</v>
      </c>
      <c r="C254" s="91" t="str">
        <f>'ORÇAMENTO BÁSICO'!C119</f>
        <v>IMPERMEABILIZACAO COM APLICACAO DIRETAMENTE NA ESTRUTURA DE CONCRETO COM QUATRO DEMAOS DE ARGAMASSA POLIMERICA, PARA RESERVATORIOS, CAIXAS D AGUAS, PISCINAS, POCOS DE ELEVADORES ETC., INCLUINDO MATERIAL E MAO DE OBRA.</v>
      </c>
      <c r="D254" s="96" t="s">
        <v>56</v>
      </c>
      <c r="E254" s="360">
        <f>J254</f>
        <v>21</v>
      </c>
      <c r="F254" s="115">
        <v>3</v>
      </c>
      <c r="G254" s="107">
        <v>1.5</v>
      </c>
      <c r="H254" s="115">
        <v>2</v>
      </c>
      <c r="I254" s="107">
        <v>2</v>
      </c>
      <c r="J254" s="368">
        <f>(((F254+H254)*I254)*G254)+(F254*H254)</f>
        <v>21</v>
      </c>
    </row>
    <row r="255" ht="47.25" spans="1:10">
      <c r="A255" s="377" t="s">
        <v>319</v>
      </c>
      <c r="B255" s="107" t="str">
        <f>'ORÇAMENTO BÁSICO'!B120</f>
        <v>90695 (SINAPI -12/2020)</v>
      </c>
      <c r="C255" s="108" t="str">
        <f>'ORÇAMENTO BÁSICO'!C120</f>
        <v>TUBO DE PVC PARA REDE COLETORA DE ESGOTO DE PAREDE MACIÇA, DN 150 MM, JUNTA ELÁSTICA, INSTALADO EM LOCAL COM NÍVEL BAIXO DE INTERFERÊNCIAS - FORNECIMENTO E ASSENTAMENTO.</v>
      </c>
      <c r="D255" s="96" t="s">
        <v>207</v>
      </c>
      <c r="E255" s="360">
        <v>20</v>
      </c>
      <c r="F255" s="115"/>
      <c r="G255" s="107"/>
      <c r="H255" s="115"/>
      <c r="I255" s="107"/>
      <c r="J255" s="368"/>
    </row>
    <row r="256" ht="31.5" spans="1:10">
      <c r="A256" s="377" t="s">
        <v>322</v>
      </c>
      <c r="B256" s="107" t="str">
        <f>'ORÇAMENTO BÁSICO'!B121</f>
        <v>06.07.010 (EMLURB - 07/2017)</v>
      </c>
      <c r="C256" s="108" t="str">
        <f>'ORÇAMENTO BÁSICO'!C121</f>
        <v>LAJE PRE-MOLDADA PARA PISO COM VAO NORMAL, INCLUSIVE CAPEAMNTO E ESCORAMENTO.</v>
      </c>
      <c r="D256" s="96" t="s">
        <v>66</v>
      </c>
      <c r="E256" s="360">
        <f>J256</f>
        <v>7.36</v>
      </c>
      <c r="F256" s="115">
        <v>3.2</v>
      </c>
      <c r="G256" s="107"/>
      <c r="H256" s="115">
        <v>2.3</v>
      </c>
      <c r="I256" s="107"/>
      <c r="J256" s="368">
        <f>F256*H256</f>
        <v>7.36</v>
      </c>
    </row>
    <row r="257" ht="31.5" spans="1:10">
      <c r="A257" s="377" t="s">
        <v>325</v>
      </c>
      <c r="B257" s="90" t="str">
        <f>'ORÇAMENTO BÁSICO'!B122</f>
        <v>05.02.020 (EMLURB - 07/2018)</v>
      </c>
      <c r="C257" s="371" t="str">
        <f>'ORÇAMENTO BÁSICO'!C122</f>
        <v>REATERRO APILOADO DE VALAS EM CAMADAS DE 20CM DE ESPESSURA, COM APROVEITAMENTO DO MATERIAL ESCAVADO.</v>
      </c>
      <c r="D257" s="96" t="s">
        <v>66</v>
      </c>
      <c r="E257" s="360">
        <f>J257</f>
        <v>5.4</v>
      </c>
      <c r="F257" s="115">
        <v>10</v>
      </c>
      <c r="G257" s="107">
        <v>2</v>
      </c>
      <c r="H257" s="115">
        <v>0.27</v>
      </c>
      <c r="I257" s="107"/>
      <c r="J257" s="368">
        <f>F257*G257*H257</f>
        <v>5.4</v>
      </c>
    </row>
    <row r="258" ht="9" customHeight="1" spans="1:10">
      <c r="A258" s="377"/>
      <c r="B258" s="90"/>
      <c r="C258" s="371"/>
      <c r="D258" s="89"/>
      <c r="E258" s="360"/>
      <c r="F258" s="115"/>
      <c r="G258" s="107"/>
      <c r="H258" s="115"/>
      <c r="I258" s="107"/>
      <c r="J258" s="368"/>
    </row>
    <row r="259" s="54" customFormat="1" ht="32" customHeight="1" spans="1:10">
      <c r="A259" s="351" t="s">
        <v>36</v>
      </c>
      <c r="B259" s="352" t="s">
        <v>326</v>
      </c>
      <c r="C259" s="352"/>
      <c r="D259" s="352"/>
      <c r="E259" s="352"/>
      <c r="F259" s="352"/>
      <c r="G259" s="352"/>
      <c r="H259" s="352"/>
      <c r="I259" s="352"/>
      <c r="J259" s="352"/>
    </row>
    <row r="260" spans="1:10">
      <c r="A260" s="377" t="s">
        <v>327</v>
      </c>
      <c r="B260" s="83" t="str">
        <f>'ORÇAMENTO BÁSICO'!B125</f>
        <v>05.01.010 (EMLURB - 07/2018)</v>
      </c>
      <c r="C260" s="108" t="str">
        <f>'ORÇAMENTO BÁSICO'!C125</f>
        <v>ESCAVACAO MANUAL EM TERRA ATE 1,50 M DE PROFUNDIDADE, SEM ESCORAMENTO.</v>
      </c>
      <c r="D260" s="77" t="s">
        <v>66</v>
      </c>
      <c r="E260" s="360">
        <f>TRUNC(J261+J262,2)</f>
        <v>16.52</v>
      </c>
      <c r="F260" s="115"/>
      <c r="G260" s="107"/>
      <c r="H260" s="115"/>
      <c r="I260" s="107"/>
      <c r="J260" s="368"/>
    </row>
    <row r="261" spans="1:10">
      <c r="A261" s="377"/>
      <c r="B261" s="83"/>
      <c r="C261" s="363" t="s">
        <v>445</v>
      </c>
      <c r="D261" s="77"/>
      <c r="E261" s="360"/>
      <c r="F261" s="115">
        <v>3</v>
      </c>
      <c r="G261" s="107">
        <v>2</v>
      </c>
      <c r="H261" s="115">
        <v>1.9</v>
      </c>
      <c r="I261" s="107"/>
      <c r="J261" s="368">
        <f>F261*G261*H261</f>
        <v>11.4</v>
      </c>
    </row>
    <row r="262" spans="1:10">
      <c r="A262" s="377"/>
      <c r="B262" s="83"/>
      <c r="C262" s="363" t="s">
        <v>446</v>
      </c>
      <c r="D262" s="77"/>
      <c r="E262" s="360"/>
      <c r="F262" s="115">
        <v>1.6</v>
      </c>
      <c r="G262" s="107">
        <v>2</v>
      </c>
      <c r="H262" s="115">
        <v>1.6</v>
      </c>
      <c r="I262" s="107"/>
      <c r="J262" s="368">
        <f>F262*G262*H262</f>
        <v>5.12</v>
      </c>
    </row>
    <row r="263" ht="31.5" spans="1:10">
      <c r="A263" s="377" t="s">
        <v>329</v>
      </c>
      <c r="B263" s="107" t="str">
        <f>'ORÇAMENTO BÁSICO'!B126</f>
        <v>06.03.010 (EMLURB - 07/2018)</v>
      </c>
      <c r="C263" s="108" t="str">
        <f>'ORÇAMENTO BÁSICO'!C126</f>
        <v>CONCRETO NAO ESTRUTURAL (1 4 8) PARA LASTROS DE PISOS E FUNDACOES, LANCADO E ADENSADO. </v>
      </c>
      <c r="D263" s="77" t="s">
        <v>66</v>
      </c>
      <c r="E263" s="360">
        <f>TRUNC(J264+J265,2)</f>
        <v>0.82</v>
      </c>
      <c r="F263" s="115"/>
      <c r="G263" s="107"/>
      <c r="H263" s="115"/>
      <c r="I263" s="107"/>
      <c r="J263" s="368"/>
    </row>
    <row r="264" spans="1:10">
      <c r="A264" s="377"/>
      <c r="B264" s="107"/>
      <c r="C264" s="363" t="s">
        <v>445</v>
      </c>
      <c r="D264" s="77"/>
      <c r="E264" s="360"/>
      <c r="F264" s="115">
        <v>3</v>
      </c>
      <c r="G264" s="107">
        <v>0.1</v>
      </c>
      <c r="H264" s="115">
        <v>1.9</v>
      </c>
      <c r="I264" s="107"/>
      <c r="J264" s="368">
        <f>F264*G264*H264</f>
        <v>0.57</v>
      </c>
    </row>
    <row r="265" spans="1:10">
      <c r="A265" s="377"/>
      <c r="B265" s="107"/>
      <c r="C265" s="363" t="s">
        <v>446</v>
      </c>
      <c r="D265" s="77"/>
      <c r="E265" s="360"/>
      <c r="F265" s="115">
        <v>1.6</v>
      </c>
      <c r="G265" s="107">
        <v>0.1</v>
      </c>
      <c r="H265" s="115">
        <v>1.6</v>
      </c>
      <c r="I265" s="107"/>
      <c r="J265" s="368">
        <f>F265*G265*H265</f>
        <v>0.256</v>
      </c>
    </row>
    <row r="266" ht="31.5" spans="1:10">
      <c r="A266" s="377" t="s">
        <v>331</v>
      </c>
      <c r="B266" s="107" t="str">
        <f>'ORÇAMENTO BÁSICO'!B127</f>
        <v>06.03.102 (EMLURB - 07/2018)</v>
      </c>
      <c r="C266" s="108" t="str">
        <f>'ORÇAMENTO BÁSICO'!C127</f>
        <v>CONCRETO ARMADO PRONTO, FCK 20 MPA,CONDICAO B (NBR 12655), LANCADO EM FUNDACOES E ADENSADO, INCLUSIVE FORMA, ESCORAMENTO E FERRAGEM.</v>
      </c>
      <c r="D266" s="77" t="s">
        <v>66</v>
      </c>
      <c r="E266" s="360">
        <f>TRUNC(J267+J268,2)</f>
        <v>0.82</v>
      </c>
      <c r="F266" s="115"/>
      <c r="G266" s="107"/>
      <c r="H266" s="115"/>
      <c r="I266" s="107"/>
      <c r="J266" s="368"/>
    </row>
    <row r="267" spans="1:10">
      <c r="A267" s="377"/>
      <c r="B267" s="107"/>
      <c r="C267" s="363" t="s">
        <v>445</v>
      </c>
      <c r="D267" s="77"/>
      <c r="E267" s="360"/>
      <c r="F267" s="115">
        <v>3</v>
      </c>
      <c r="G267" s="107">
        <v>0.1</v>
      </c>
      <c r="H267" s="115">
        <v>1.9</v>
      </c>
      <c r="I267" s="107"/>
      <c r="J267" s="368">
        <f>F267*G267*H267</f>
        <v>0.57</v>
      </c>
    </row>
    <row r="268" spans="1:10">
      <c r="A268" s="377"/>
      <c r="B268" s="107"/>
      <c r="C268" s="363" t="s">
        <v>446</v>
      </c>
      <c r="D268" s="77"/>
      <c r="E268" s="360"/>
      <c r="F268" s="115">
        <v>1.6</v>
      </c>
      <c r="G268" s="107">
        <v>0.1</v>
      </c>
      <c r="H268" s="115">
        <v>1.6</v>
      </c>
      <c r="I268" s="107"/>
      <c r="J268" s="368">
        <f>F268*G268*H268</f>
        <v>0.256</v>
      </c>
    </row>
    <row r="269" ht="47.25" spans="1:10">
      <c r="A269" s="377" t="s">
        <v>334</v>
      </c>
      <c r="B269" s="107" t="str">
        <f>'ORÇAMENTO BÁSICO'!B128</f>
        <v>06.03.143 (EMLURB - 07/2018)</v>
      </c>
      <c r="C269" s="108" t="str">
        <f>'ORÇAMENTO BÁSICO'!C128</f>
        <v>CONCRETO ARMADO PRONTO, FCK 25 MPA,CONDICAO A (NBR 12655),LANCADO EM QUALQUER TIPO DE ESTRUTURA E ADENSADO, INCLUSIVE FORMA, ESCORAMENTO E FERRAGEM.</v>
      </c>
      <c r="D269" s="96" t="s">
        <v>66</v>
      </c>
      <c r="E269" s="360">
        <v>0.2</v>
      </c>
      <c r="F269" s="115">
        <v>2.65</v>
      </c>
      <c r="G269" s="107">
        <v>0.05</v>
      </c>
      <c r="H269" s="115">
        <v>1.5</v>
      </c>
      <c r="I269" s="107"/>
      <c r="J269" s="368">
        <f>F269*G269*H269</f>
        <v>0.19875</v>
      </c>
    </row>
    <row r="270" ht="31.5" spans="1:10">
      <c r="A270" s="377" t="s">
        <v>337</v>
      </c>
      <c r="B270" s="107" t="str">
        <f>'ORÇAMENTO BÁSICO'!B129</f>
        <v>07.01.055 (EMLURB - 07/2018)</v>
      </c>
      <c r="C270" s="108" t="str">
        <f>'ORÇAMENTO BÁSICO'!C129</f>
        <v>ALVENARIA DE TIJOLOS MACICOS PRENSADOS,ASSENTADOS E REJUNTADOS COM ARGAMASSA DE CIMENTO E AREIA NO TRACO 1:6 - 1 VEZ.</v>
      </c>
      <c r="D270" s="96" t="s">
        <v>56</v>
      </c>
      <c r="E270" s="360">
        <f>TRUNC(J271+J272,2)</f>
        <v>22.08</v>
      </c>
      <c r="F270" s="115"/>
      <c r="G270" s="107"/>
      <c r="H270" s="115"/>
      <c r="I270" s="107"/>
      <c r="J270" s="368"/>
    </row>
    <row r="271" spans="1:10">
      <c r="A271" s="377"/>
      <c r="B271" s="107"/>
      <c r="C271" s="363" t="s">
        <v>445</v>
      </c>
      <c r="D271" s="96"/>
      <c r="E271" s="360"/>
      <c r="F271" s="115">
        <v>3</v>
      </c>
      <c r="G271" s="107">
        <v>1.6</v>
      </c>
      <c r="H271" s="115">
        <v>1.5</v>
      </c>
      <c r="I271" s="107">
        <v>2</v>
      </c>
      <c r="J271" s="368">
        <f>(((F271+H271)*I271)*G271)</f>
        <v>14.4</v>
      </c>
    </row>
    <row r="272" spans="1:10">
      <c r="A272" s="377"/>
      <c r="B272" s="107"/>
      <c r="C272" s="363" t="s">
        <v>446</v>
      </c>
      <c r="D272" s="96"/>
      <c r="E272" s="360"/>
      <c r="F272" s="115">
        <v>1.4</v>
      </c>
      <c r="G272" s="107">
        <v>1.6</v>
      </c>
      <c r="H272" s="115">
        <v>1</v>
      </c>
      <c r="I272" s="107">
        <v>2</v>
      </c>
      <c r="J272" s="368">
        <f>(((F272+H272)*I272)*G272)</f>
        <v>7.68</v>
      </c>
    </row>
    <row r="273" ht="31.5" spans="1:10">
      <c r="A273" s="377" t="s">
        <v>340</v>
      </c>
      <c r="B273" s="107" t="str">
        <f>'ORÇAMENTO BÁSICO'!B130</f>
        <v>06.07.010 (EMLURB - 07/2018)</v>
      </c>
      <c r="C273" s="108" t="str">
        <f>'ORÇAMENTO BÁSICO'!C130</f>
        <v>LAJE PRE-MOLDADA PARA PISO COM VAO NORMAL,INCLUSIVE CAPEAMENTO E ESCORAMENTO.</v>
      </c>
      <c r="D273" s="96" t="s">
        <v>56</v>
      </c>
      <c r="E273" s="360">
        <f>TRUNC(J274+J275,2)</f>
        <v>7.66</v>
      </c>
      <c r="F273" s="115"/>
      <c r="G273" s="107"/>
      <c r="H273" s="115"/>
      <c r="I273" s="107"/>
      <c r="J273" s="368"/>
    </row>
    <row r="274" spans="1:10">
      <c r="A274" s="377"/>
      <c r="B274" s="107"/>
      <c r="C274" s="363" t="s">
        <v>445</v>
      </c>
      <c r="D274" s="96"/>
      <c r="E274" s="360"/>
      <c r="F274" s="115">
        <v>3</v>
      </c>
      <c r="G274" s="107"/>
      <c r="H274" s="115">
        <v>1.9</v>
      </c>
      <c r="I274" s="107"/>
      <c r="J274" s="368">
        <f>F274*H274</f>
        <v>5.7</v>
      </c>
    </row>
    <row r="275" spans="1:10">
      <c r="A275" s="377"/>
      <c r="B275" s="107"/>
      <c r="C275" s="363" t="s">
        <v>446</v>
      </c>
      <c r="D275" s="96"/>
      <c r="E275" s="360"/>
      <c r="F275" s="115">
        <v>1.4</v>
      </c>
      <c r="G275" s="107"/>
      <c r="H275" s="115">
        <v>1.4</v>
      </c>
      <c r="I275" s="107"/>
      <c r="J275" s="368">
        <f>F275*H275</f>
        <v>1.96</v>
      </c>
    </row>
    <row r="276" ht="63" spans="1:10">
      <c r="A276" s="377" t="s">
        <v>343</v>
      </c>
      <c r="B276" s="107" t="str">
        <f>'ORÇAMENTO BÁSICO'!B131</f>
        <v>21.02.030 (EMLURB - 07/2018)</v>
      </c>
      <c r="C276" s="108" t="str">
        <f>'ORÇAMENTO BÁSICO'!C131</f>
        <v>CONTRUCAO DE CAIXA COLETORA, TIPO 'COM GAVETA', EM ALVENARIA DE 1 VEZ DE TIJOLOS MACICOS PRENSADOS (REF. DR-06-OBRAS RECIFE) NAS DIM. INTERNAS 0,8 X 0,8 X 0,90 M, INCLUSIVE ESCAVACAO, REATERRO COMPACTADO E REMOCAO DO MAT. EXCEDENTE ( C/ SOBRETAMPA DE CONC.). </v>
      </c>
      <c r="D276" s="96" t="s">
        <v>212</v>
      </c>
      <c r="E276" s="360">
        <v>1</v>
      </c>
      <c r="F276" s="115"/>
      <c r="G276" s="107"/>
      <c r="H276" s="115"/>
      <c r="I276" s="107"/>
      <c r="J276" s="368">
        <f>E276</f>
        <v>1</v>
      </c>
    </row>
    <row r="277" ht="47.25" spans="1:10">
      <c r="A277" s="377" t="s">
        <v>346</v>
      </c>
      <c r="B277" s="107" t="str">
        <f>'ORÇAMENTO BÁSICO'!B132</f>
        <v>90695 (SINAPI -07/2020)</v>
      </c>
      <c r="C277" s="108" t="str">
        <f>'ORÇAMENTO BÁSICO'!C132</f>
        <v>TUBO DE PVC PARA REDE COLETORA DE ESGOTO DE PAREDE MACIÇA, DN 150 MM, JUNTA ELÁSTICA, INSTALADO EM LOCAL COM NÍVEL BAIXO DE INTERFERÊNCIAS - FORNECIMENTO E ASSENTAMENTO.</v>
      </c>
      <c r="D277" s="96" t="s">
        <v>207</v>
      </c>
      <c r="E277" s="360">
        <v>12</v>
      </c>
      <c r="F277" s="115"/>
      <c r="G277" s="107"/>
      <c r="H277" s="115"/>
      <c r="I277" s="107"/>
      <c r="J277" s="368">
        <f>E277</f>
        <v>12</v>
      </c>
    </row>
    <row r="278" ht="47.25" spans="1:10">
      <c r="A278" s="377" t="s">
        <v>348</v>
      </c>
      <c r="B278" s="107" t="str">
        <f>'ORÇAMENTO BÁSICO'!B133</f>
        <v>Composição 4</v>
      </c>
      <c r="C278" s="91" t="str">
        <f>'ORÇAMENTO BÁSICO'!C133</f>
        <v>FORNECIMENTO E INSTALAÇÃO DE MOTOBOMBA CENTRÍFUGA SUBMERSÍVEL PARA REALIZAR O RECALQUE DE ESGOTO SANITÁRIO, TENSÃO 220 V, VAZÃO 20 M³/H, POTÊNCIA 1,0 CV, RECALQUE 2" MODELO SCHNAIDER SÉRIE BCS OU SIMILAR</v>
      </c>
      <c r="D278" s="96" t="s">
        <v>292</v>
      </c>
      <c r="E278" s="360">
        <v>1</v>
      </c>
      <c r="F278" s="115"/>
      <c r="G278" s="107"/>
      <c r="H278" s="115"/>
      <c r="I278" s="107"/>
      <c r="J278" s="368">
        <f>E278</f>
        <v>1</v>
      </c>
    </row>
    <row r="279" ht="31.5" spans="1:10">
      <c r="A279" s="377" t="s">
        <v>349</v>
      </c>
      <c r="B279" s="107" t="str">
        <f>'ORÇAMENTO BÁSICO'!B134</f>
        <v>21.10.030 (EMLURB - 07/2018)</v>
      </c>
      <c r="C279" s="108" t="str">
        <f>'ORÇAMENTO BÁSICO'!C134</f>
        <v>EXECUCAO DE CAMADA DRENANTE COM BRITA 38MM, INCLUSIVE O FORNECIMENTO DA MESMA.</v>
      </c>
      <c r="D279" s="96" t="s">
        <v>66</v>
      </c>
      <c r="E279" s="360">
        <f>J279</f>
        <v>3.18</v>
      </c>
      <c r="F279" s="115">
        <v>2.65</v>
      </c>
      <c r="G279" s="107">
        <v>0.8</v>
      </c>
      <c r="H279" s="115">
        <v>1.5</v>
      </c>
      <c r="I279" s="107"/>
      <c r="J279" s="368">
        <f>F279*G279*H279</f>
        <v>3.18</v>
      </c>
    </row>
    <row r="280" ht="31.5" spans="1:10">
      <c r="A280" s="377" t="s">
        <v>350</v>
      </c>
      <c r="B280" s="90" t="str">
        <f>'ORÇAMENTO BÁSICO'!B135</f>
        <v>05.02.020 (EMLURB - 07/2018)</v>
      </c>
      <c r="C280" s="371" t="str">
        <f>'ORÇAMENTO BÁSICO'!C135</f>
        <v>REATERRO APILOADO DE VALAS EM CAMADAS DE 20CM DE ESPESSURA, COM APROVEITAMENTO DO MATERIAL ESCAVADO.</v>
      </c>
      <c r="D280" s="96" t="s">
        <v>66</v>
      </c>
      <c r="E280" s="360">
        <v>5</v>
      </c>
      <c r="F280" s="115"/>
      <c r="G280" s="107"/>
      <c r="H280" s="115"/>
      <c r="I280" s="107"/>
      <c r="J280" s="368">
        <f>E280</f>
        <v>5</v>
      </c>
    </row>
    <row r="281" ht="31.5" spans="1:10">
      <c r="A281" s="377" t="s">
        <v>351</v>
      </c>
      <c r="B281" s="90" t="str">
        <f>'ORÇAMENTO BÁSICO'!B136</f>
        <v>04.03.070 (EMLURB - 07/2018)</v>
      </c>
      <c r="C281" s="104" t="str">
        <f>'ORÇAMENTO BÁSICO'!C136</f>
        <v>REMOCAO DE MATERIAL DE PRIMEIRA CATEGORIA EM CAMINHAO BASCULANTE, D.M.T. 6 KM, INCLUSIVE CARGA E DESCARGA MECANICAS .</v>
      </c>
      <c r="D281" s="96" t="s">
        <v>66</v>
      </c>
      <c r="E281" s="360">
        <f>TRUNC((E260-E280)*I281,2)</f>
        <v>14.97</v>
      </c>
      <c r="F281" s="115"/>
      <c r="G281" s="107"/>
      <c r="H281" s="115"/>
      <c r="I281" s="107">
        <v>1.3</v>
      </c>
      <c r="J281" s="368">
        <f>E281</f>
        <v>14.97</v>
      </c>
    </row>
    <row r="282" ht="8" customHeight="1" spans="1:10">
      <c r="A282" s="377"/>
      <c r="B282" s="90"/>
      <c r="C282" s="104"/>
      <c r="D282" s="96"/>
      <c r="E282" s="360"/>
      <c r="F282" s="115"/>
      <c r="G282" s="107"/>
      <c r="H282" s="115"/>
      <c r="I282" s="107"/>
      <c r="J282" s="368"/>
    </row>
    <row r="283" ht="36" customHeight="1" spans="1:10">
      <c r="A283" s="351" t="s">
        <v>38</v>
      </c>
      <c r="B283" s="352" t="s">
        <v>354</v>
      </c>
      <c r="C283" s="352"/>
      <c r="D283" s="352"/>
      <c r="E283" s="352"/>
      <c r="F283" s="352"/>
      <c r="G283" s="352"/>
      <c r="H283" s="352"/>
      <c r="I283" s="352"/>
      <c r="J283" s="352"/>
    </row>
    <row r="284" ht="23" customHeight="1" spans="1:10">
      <c r="A284" s="359" t="s">
        <v>355</v>
      </c>
      <c r="B284" s="83" t="s">
        <v>107</v>
      </c>
      <c r="C284" s="86" t="s">
        <v>136</v>
      </c>
      <c r="D284" s="77" t="s">
        <v>66</v>
      </c>
      <c r="E284" s="360">
        <f>J284</f>
        <v>2</v>
      </c>
      <c r="F284" s="115">
        <v>1</v>
      </c>
      <c r="G284" s="107">
        <v>1</v>
      </c>
      <c r="H284" s="115">
        <v>1</v>
      </c>
      <c r="I284" s="107">
        <v>2</v>
      </c>
      <c r="J284" s="368">
        <v>2</v>
      </c>
    </row>
    <row r="285" ht="19" customHeight="1" spans="1:10">
      <c r="A285" s="359" t="s">
        <v>356</v>
      </c>
      <c r="B285" s="83" t="s">
        <v>357</v>
      </c>
      <c r="C285" s="86" t="s">
        <v>447</v>
      </c>
      <c r="D285" s="77" t="s">
        <v>66</v>
      </c>
      <c r="E285" s="360">
        <f>J285</f>
        <v>1.8</v>
      </c>
      <c r="F285" s="115">
        <v>6</v>
      </c>
      <c r="G285" s="107">
        <v>1</v>
      </c>
      <c r="H285" s="115">
        <v>0.3</v>
      </c>
      <c r="I285" s="107"/>
      <c r="J285" s="368">
        <f>F285*G285*H285</f>
        <v>1.8</v>
      </c>
    </row>
    <row r="286" ht="38" customHeight="1" spans="1:10">
      <c r="A286" s="359" t="s">
        <v>358</v>
      </c>
      <c r="B286" s="78" t="s">
        <v>145</v>
      </c>
      <c r="C286" s="97" t="s">
        <v>146</v>
      </c>
      <c r="D286" s="96" t="s">
        <v>66</v>
      </c>
      <c r="E286" s="360">
        <f>J286</f>
        <v>0.2</v>
      </c>
      <c r="F286" s="115">
        <v>1</v>
      </c>
      <c r="G286" s="107">
        <v>0.1</v>
      </c>
      <c r="H286" s="115">
        <v>1</v>
      </c>
      <c r="I286" s="107">
        <v>2</v>
      </c>
      <c r="J286" s="368">
        <f>F286*G286*H286*I286</f>
        <v>0.2</v>
      </c>
    </row>
    <row r="287" ht="45" customHeight="1" spans="1:10">
      <c r="A287" s="359" t="s">
        <v>359</v>
      </c>
      <c r="B287" s="78" t="s">
        <v>148</v>
      </c>
      <c r="C287" s="97" t="s">
        <v>149</v>
      </c>
      <c r="D287" s="96" t="s">
        <v>66</v>
      </c>
      <c r="E287" s="360">
        <v>0.38</v>
      </c>
      <c r="F287" s="115">
        <v>0.8</v>
      </c>
      <c r="G287" s="107">
        <v>0.3</v>
      </c>
      <c r="H287" s="115">
        <v>0.8</v>
      </c>
      <c r="I287" s="107">
        <v>2</v>
      </c>
      <c r="J287" s="368">
        <f>F287*G287*H287*I287</f>
        <v>0.384</v>
      </c>
    </row>
    <row r="288" ht="37" customHeight="1" spans="1:10">
      <c r="A288" s="359" t="s">
        <v>360</v>
      </c>
      <c r="B288" s="78" t="s">
        <v>151</v>
      </c>
      <c r="C288" s="97" t="s">
        <v>152</v>
      </c>
      <c r="D288" s="96" t="s">
        <v>66</v>
      </c>
      <c r="E288" s="360">
        <v>0.38</v>
      </c>
      <c r="F288" s="115">
        <v>0.25</v>
      </c>
      <c r="G288" s="107">
        <v>3</v>
      </c>
      <c r="H288" s="115">
        <v>0.25</v>
      </c>
      <c r="I288" s="107">
        <v>2</v>
      </c>
      <c r="J288" s="368">
        <f>F288*G288*H288*I288</f>
        <v>0.375</v>
      </c>
    </row>
    <row r="289" ht="40" customHeight="1" spans="1:10">
      <c r="A289" s="359" t="s">
        <v>361</v>
      </c>
      <c r="B289" s="78" t="s">
        <v>362</v>
      </c>
      <c r="C289" s="97" t="s">
        <v>448</v>
      </c>
      <c r="D289" s="96" t="s">
        <v>66</v>
      </c>
      <c r="E289" s="360">
        <f>J289</f>
        <v>1.8</v>
      </c>
      <c r="F289" s="115">
        <v>6</v>
      </c>
      <c r="G289" s="107">
        <v>1</v>
      </c>
      <c r="H289" s="115">
        <v>0.3</v>
      </c>
      <c r="I289" s="107"/>
      <c r="J289" s="368">
        <f>F289*G289*H289</f>
        <v>1.8</v>
      </c>
    </row>
    <row r="290" ht="39" customHeight="1" spans="1:10">
      <c r="A290" s="359" t="s">
        <v>363</v>
      </c>
      <c r="B290" s="78" t="s">
        <v>157</v>
      </c>
      <c r="C290" s="97" t="s">
        <v>158</v>
      </c>
      <c r="D290" s="96" t="s">
        <v>66</v>
      </c>
      <c r="E290" s="360">
        <f>J290</f>
        <v>0.09</v>
      </c>
      <c r="F290" s="115">
        <v>3</v>
      </c>
      <c r="G290" s="107">
        <v>0.15</v>
      </c>
      <c r="H290" s="115">
        <v>0.2</v>
      </c>
      <c r="I290" s="107">
        <v>1</v>
      </c>
      <c r="J290" s="368">
        <f>F290*G290*H290*I290</f>
        <v>0.09</v>
      </c>
    </row>
    <row r="291" ht="43" customHeight="1" spans="1:10">
      <c r="A291" s="359" t="s">
        <v>364</v>
      </c>
      <c r="B291" s="78" t="s">
        <v>352</v>
      </c>
      <c r="C291" s="95" t="s">
        <v>353</v>
      </c>
      <c r="D291" s="96" t="s">
        <v>66</v>
      </c>
      <c r="E291" s="360">
        <f>J291*I291</f>
        <v>4.56</v>
      </c>
      <c r="F291" s="115"/>
      <c r="G291" s="107"/>
      <c r="H291" s="115"/>
      <c r="I291" s="107">
        <v>1.2</v>
      </c>
      <c r="J291" s="368">
        <f>E284+E285</f>
        <v>3.8</v>
      </c>
    </row>
    <row r="292" ht="37" customHeight="1" spans="1:10">
      <c r="A292" s="359" t="s">
        <v>365</v>
      </c>
      <c r="B292" s="78" t="s">
        <v>140</v>
      </c>
      <c r="C292" s="97" t="s">
        <v>160</v>
      </c>
      <c r="D292" s="96" t="s">
        <v>66</v>
      </c>
      <c r="E292" s="360">
        <f>E284-E287</f>
        <v>1.62</v>
      </c>
      <c r="F292" s="115"/>
      <c r="G292" s="107"/>
      <c r="H292" s="115"/>
      <c r="I292" s="107"/>
      <c r="J292" s="368">
        <f>E284-E287</f>
        <v>1.62</v>
      </c>
    </row>
    <row r="293" s="342" customFormat="1" ht="8" customHeight="1" spans="1:10">
      <c r="A293" s="377"/>
      <c r="B293" s="379"/>
      <c r="C293" s="380"/>
      <c r="D293" s="381"/>
      <c r="E293" s="382"/>
      <c r="F293" s="383"/>
      <c r="G293" s="384"/>
      <c r="H293" s="383"/>
      <c r="I293" s="384"/>
      <c r="J293" s="368"/>
    </row>
    <row r="294" s="54" customFormat="1" ht="38.25" customHeight="1" spans="1:10">
      <c r="A294" s="351" t="s">
        <v>40</v>
      </c>
      <c r="B294" s="352" t="s">
        <v>366</v>
      </c>
      <c r="C294" s="352"/>
      <c r="D294" s="352"/>
      <c r="E294" s="352"/>
      <c r="F294" s="352"/>
      <c r="G294" s="352"/>
      <c r="H294" s="352"/>
      <c r="I294" s="352"/>
      <c r="J294" s="352"/>
    </row>
    <row r="295" ht="41" customHeight="1" spans="1:10">
      <c r="A295" s="377" t="s">
        <v>367</v>
      </c>
      <c r="B295" s="83" t="str">
        <f>'ORÇAMENTO BÁSICO'!B150</f>
        <v>19.07.146 (EMLURB - 07/2018)</v>
      </c>
      <c r="C295" s="108" t="str">
        <f>'ORÇAMENTO BÁSICO'!C150</f>
        <v>INSTALAÇÃO DE CAIXA D'AGUA ELEVADA DE PVC, COM TAMPA, CAPACIDADE PARA 1000 LITROS, INCLUSIVE COLOCACAO E BARRILETE.</v>
      </c>
      <c r="D295" s="77" t="s">
        <v>212</v>
      </c>
      <c r="E295" s="360">
        <f>J295</f>
        <v>1</v>
      </c>
      <c r="F295" s="115">
        <v>1</v>
      </c>
      <c r="G295" s="107"/>
      <c r="H295" s="115"/>
      <c r="I295" s="107"/>
      <c r="J295" s="368">
        <v>1</v>
      </c>
    </row>
    <row r="296" ht="37" customHeight="1" spans="1:10">
      <c r="A296" s="377" t="s">
        <v>370</v>
      </c>
      <c r="B296" s="107" t="str">
        <f>'ORÇAMENTO BÁSICO'!B151</f>
        <v>09.02.022 (EMLURB - 07/2018)</v>
      </c>
      <c r="C296" s="108" t="str">
        <f>'ORÇAMENTO BÁSICO'!C151</f>
        <v>GRADE DE PROTECAO DE JANELA EM FERRO COM VAROES DE 1/2", ESPAC=10CM E ACABAMENTO EM BARRA CHATA DE 1" X 1/4" INCLUSIVE ASSENTAMENTO.</v>
      </c>
      <c r="D296" s="77" t="s">
        <v>56</v>
      </c>
      <c r="E296" s="360">
        <f>J296</f>
        <v>21</v>
      </c>
      <c r="F296" s="115">
        <v>30</v>
      </c>
      <c r="G296" s="107">
        <v>0.7</v>
      </c>
      <c r="H296" s="115"/>
      <c r="I296" s="107"/>
      <c r="J296" s="368">
        <f>F296*G296</f>
        <v>21</v>
      </c>
    </row>
    <row r="297" ht="23" customHeight="1" spans="1:10">
      <c r="A297" s="377" t="s">
        <v>371</v>
      </c>
      <c r="B297" s="107" t="str">
        <f>'ORÇAMENTO BÁSICO'!B152</f>
        <v>COMPOSIÇÃO 2</v>
      </c>
      <c r="C297" s="108" t="str">
        <f>'ORÇAMENTO BÁSICO'!C152</f>
        <v>REBAIXAMENTO DE LENÇOL FREÁTICO</v>
      </c>
      <c r="D297" s="77" t="s">
        <v>73</v>
      </c>
      <c r="E297" s="360">
        <f>J297</f>
        <v>30</v>
      </c>
      <c r="F297" s="115"/>
      <c r="G297" s="107"/>
      <c r="H297" s="115">
        <v>30</v>
      </c>
      <c r="I297" s="107">
        <v>1</v>
      </c>
      <c r="J297" s="368">
        <f>H297*I297</f>
        <v>30</v>
      </c>
    </row>
    <row r="298" ht="8" customHeight="1" spans="1:10">
      <c r="A298" s="377"/>
      <c r="B298" s="107"/>
      <c r="C298" s="108"/>
      <c r="D298" s="77"/>
      <c r="E298" s="360"/>
      <c r="F298" s="115"/>
      <c r="G298" s="107"/>
      <c r="H298" s="115"/>
      <c r="I298" s="107"/>
      <c r="J298" s="368"/>
    </row>
    <row r="299" s="54" customFormat="1" ht="30" customHeight="1" spans="1:10">
      <c r="A299" s="351" t="s">
        <v>42</v>
      </c>
      <c r="B299" s="352" t="s">
        <v>449</v>
      </c>
      <c r="C299" s="352"/>
      <c r="D299" s="352"/>
      <c r="E299" s="352"/>
      <c r="F299" s="352"/>
      <c r="G299" s="352"/>
      <c r="H299" s="352"/>
      <c r="I299" s="352"/>
      <c r="J299" s="352"/>
    </row>
    <row r="300" ht="29" customHeight="1" spans="1:10">
      <c r="A300" s="377" t="s">
        <v>375</v>
      </c>
      <c r="B300" s="83" t="str">
        <f>'ORÇAMENTO BÁSICO'!B155</f>
        <v>99814 (SINAPI – 12/2020)</v>
      </c>
      <c r="C300" s="108" t="str">
        <f>'ORÇAMENTO BÁSICO'!C155</f>
        <v>LIMPEZA DE SUPERFÍCIE COM JATO DE ALTA PRESSÃO</v>
      </c>
      <c r="D300" s="77" t="s">
        <v>56</v>
      </c>
      <c r="E300" s="360">
        <f>J300</f>
        <v>750</v>
      </c>
      <c r="F300" s="115">
        <v>30</v>
      </c>
      <c r="G300" s="107">
        <v>25</v>
      </c>
      <c r="H300" s="115"/>
      <c r="I300" s="107"/>
      <c r="J300" s="368">
        <f>F300*G300</f>
        <v>750</v>
      </c>
    </row>
  </sheetData>
  <mergeCells count="76">
    <mergeCell ref="A1:J1"/>
    <mergeCell ref="A2:J2"/>
    <mergeCell ref="A3:J3"/>
    <mergeCell ref="A4:B4"/>
    <mergeCell ref="C4:J4"/>
    <mergeCell ref="A5:B5"/>
    <mergeCell ref="C5:J5"/>
    <mergeCell ref="A6:B6"/>
    <mergeCell ref="C6:J6"/>
    <mergeCell ref="B8:J8"/>
    <mergeCell ref="B22:J22"/>
    <mergeCell ref="B65:J65"/>
    <mergeCell ref="B156:J156"/>
    <mergeCell ref="B165:J165"/>
    <mergeCell ref="B171:J171"/>
    <mergeCell ref="B177:J177"/>
    <mergeCell ref="B206:J206"/>
    <mergeCell ref="B212:J212"/>
    <mergeCell ref="B230:J230"/>
    <mergeCell ref="B238:J238"/>
    <mergeCell ref="B250:J250"/>
    <mergeCell ref="B259:J259"/>
    <mergeCell ref="B283:J283"/>
    <mergeCell ref="B294:J294"/>
    <mergeCell ref="B299:J299"/>
    <mergeCell ref="A23:A24"/>
    <mergeCell ref="A26:A28"/>
    <mergeCell ref="A168:A169"/>
    <mergeCell ref="B23:B24"/>
    <mergeCell ref="B26:B28"/>
    <mergeCell ref="B168:B169"/>
    <mergeCell ref="C23:C24"/>
    <mergeCell ref="C26:C28"/>
    <mergeCell ref="C168:C169"/>
    <mergeCell ref="D10:D15"/>
    <mergeCell ref="D17:D18"/>
    <mergeCell ref="D23:D24"/>
    <mergeCell ref="D26:D28"/>
    <mergeCell ref="D33:D48"/>
    <mergeCell ref="D52:D61"/>
    <mergeCell ref="D66:D84"/>
    <mergeCell ref="D86:D104"/>
    <mergeCell ref="D105:D123"/>
    <mergeCell ref="D124:D138"/>
    <mergeCell ref="D139:D149"/>
    <mergeCell ref="D152:D153"/>
    <mergeCell ref="D168:D169"/>
    <mergeCell ref="D178:D195"/>
    <mergeCell ref="D196:D201"/>
    <mergeCell ref="D203:D204"/>
    <mergeCell ref="D260:D262"/>
    <mergeCell ref="D263:D265"/>
    <mergeCell ref="D266:D268"/>
    <mergeCell ref="D270:D272"/>
    <mergeCell ref="D273:D275"/>
    <mergeCell ref="E10:E15"/>
    <mergeCell ref="E17:E18"/>
    <mergeCell ref="E23:E24"/>
    <mergeCell ref="E26:E28"/>
    <mergeCell ref="E33:E48"/>
    <mergeCell ref="E52:E61"/>
    <mergeCell ref="E66:E84"/>
    <mergeCell ref="E86:E104"/>
    <mergeCell ref="E105:E123"/>
    <mergeCell ref="E124:E138"/>
    <mergeCell ref="E139:E149"/>
    <mergeCell ref="E152:E153"/>
    <mergeCell ref="E168:E169"/>
    <mergeCell ref="E178:E195"/>
    <mergeCell ref="E196:E201"/>
    <mergeCell ref="E203:E204"/>
    <mergeCell ref="E260:E262"/>
    <mergeCell ref="E263:E265"/>
    <mergeCell ref="E266:E268"/>
    <mergeCell ref="E270:E272"/>
    <mergeCell ref="E273:E275"/>
  </mergeCells>
  <printOptions horizontalCentered="1"/>
  <pageMargins left="0.448611111111111" right="0.275" top="0.550694444444444" bottom="0.511805555555555" header="0.511805555555555" footer="0.511805555555555"/>
  <pageSetup paperSize="9" scale="44" firstPageNumber="0" orientation="portrait" useFirstPageNumber="1" horizontalDpi="300" verticalDpi="300"/>
  <headerFooter/>
  <rowBreaks count="5" manualBreakCount="5">
    <brk id="64" max="16383" man="1"/>
    <brk id="138" max="16383" man="1"/>
    <brk id="201" max="16383" man="1"/>
    <brk id="237" max="16383" man="1"/>
    <brk id="282" max="16383"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view="pageBreakPreview" zoomScale="90" zoomScalePageLayoutView="90" zoomScaleNormal="100" topLeftCell="A7" workbookViewId="0">
      <selection activeCell="A2" sqref="A2:L2"/>
    </sheetView>
  </sheetViews>
  <sheetFormatPr defaultColWidth="9.31111111111111" defaultRowHeight="15.75"/>
  <cols>
    <col min="1" max="1" width="8.66666666666667" style="290" customWidth="1"/>
    <col min="2" max="2" width="45.3777777777778" style="290" customWidth="1"/>
    <col min="3" max="3" width="13.6555555555556" style="290" customWidth="1"/>
    <col min="4" max="4" width="23.7" style="290" customWidth="1"/>
    <col min="5" max="5" width="13.6555555555556" style="290" customWidth="1"/>
    <col min="6" max="6" width="17.3444444444444" style="290" customWidth="1"/>
    <col min="7" max="7" width="13.6555555555556" style="290" customWidth="1"/>
    <col min="8" max="8" width="17.6666666666667" style="290" customWidth="1"/>
    <col min="9" max="9" width="13.6555555555556" style="290" customWidth="1"/>
    <col min="10" max="10" width="17.1666666666667" style="290" customWidth="1"/>
    <col min="11" max="11" width="13.6555555555556" style="290" customWidth="1"/>
    <col min="12" max="12" width="18.3333333333333" style="290" customWidth="1"/>
    <col min="13" max="244" width="10.5111111111111" style="290" customWidth="1"/>
    <col min="245" max="1025" width="9.33333333333333" style="290"/>
  </cols>
  <sheetData>
    <row r="1" ht="68" customHeight="1" spans="1:12">
      <c r="A1" s="291"/>
      <c r="B1" s="291"/>
      <c r="C1" s="291"/>
      <c r="D1" s="291"/>
      <c r="E1" s="291"/>
      <c r="F1" s="291"/>
      <c r="G1" s="291"/>
      <c r="H1" s="291"/>
      <c r="I1" s="291"/>
      <c r="J1" s="291"/>
      <c r="K1" s="291"/>
      <c r="L1" s="291"/>
    </row>
    <row r="2" ht="63" customHeight="1" spans="1:12">
      <c r="A2" s="292" t="s">
        <v>0</v>
      </c>
      <c r="B2" s="292"/>
      <c r="C2" s="292"/>
      <c r="D2" s="292"/>
      <c r="E2" s="292"/>
      <c r="F2" s="292"/>
      <c r="G2" s="292"/>
      <c r="H2" s="292"/>
      <c r="I2" s="292"/>
      <c r="J2" s="292"/>
      <c r="K2" s="292"/>
      <c r="L2" s="292"/>
    </row>
    <row r="3" spans="1:12">
      <c r="A3" s="61" t="s">
        <v>450</v>
      </c>
      <c r="B3" s="61"/>
      <c r="C3" s="61"/>
      <c r="D3" s="61"/>
      <c r="E3" s="61"/>
      <c r="F3" s="61"/>
      <c r="G3" s="61"/>
      <c r="H3" s="61"/>
      <c r="I3" s="61"/>
      <c r="J3" s="61"/>
      <c r="K3" s="61"/>
      <c r="L3" s="61"/>
    </row>
    <row r="4" ht="30" customHeight="1" spans="1:12">
      <c r="A4" s="61" t="s">
        <v>451</v>
      </c>
      <c r="B4" s="61"/>
      <c r="C4" s="61"/>
      <c r="D4" s="61"/>
      <c r="E4" s="61"/>
      <c r="F4" s="61"/>
      <c r="G4" s="61"/>
      <c r="H4" s="61"/>
      <c r="I4" s="61"/>
      <c r="J4" s="61"/>
      <c r="K4" s="61"/>
      <c r="L4" s="61"/>
    </row>
    <row r="5" ht="10" customHeight="1" spans="1:12">
      <c r="A5" s="293"/>
      <c r="B5" s="293"/>
      <c r="C5" s="293"/>
      <c r="D5" s="293"/>
      <c r="E5" s="293"/>
      <c r="F5" s="293"/>
      <c r="G5" s="293"/>
      <c r="H5" s="293"/>
      <c r="I5" s="293"/>
      <c r="J5" s="293"/>
      <c r="K5" s="293"/>
      <c r="L5" s="293"/>
    </row>
    <row r="6" ht="42" customHeight="1" spans="1:12">
      <c r="A6" s="294" t="s">
        <v>452</v>
      </c>
      <c r="B6" s="294"/>
      <c r="C6" s="294"/>
      <c r="D6" s="294"/>
      <c r="E6" s="294"/>
      <c r="F6" s="294"/>
      <c r="G6" s="294"/>
      <c r="H6" s="294"/>
      <c r="I6" s="294"/>
      <c r="J6" s="294"/>
      <c r="K6" s="294"/>
      <c r="L6" s="294"/>
    </row>
    <row r="7" ht="28" customHeight="1" spans="1:12">
      <c r="A7" s="295" t="s">
        <v>453</v>
      </c>
      <c r="B7" s="295"/>
      <c r="C7" s="295"/>
      <c r="D7" s="295"/>
      <c r="E7" s="295"/>
      <c r="F7" s="295"/>
      <c r="G7" s="295"/>
      <c r="H7" s="295"/>
      <c r="I7" s="295"/>
      <c r="J7" s="295"/>
      <c r="K7" s="295"/>
      <c r="L7" s="295"/>
    </row>
    <row r="8" ht="20" customHeight="1" spans="1:12">
      <c r="A8" s="296" t="s">
        <v>9</v>
      </c>
      <c r="B8" s="296" t="s">
        <v>10</v>
      </c>
      <c r="C8" s="297" t="s">
        <v>454</v>
      </c>
      <c r="D8" s="297" t="s">
        <v>455</v>
      </c>
      <c r="E8" s="297" t="s">
        <v>456</v>
      </c>
      <c r="F8" s="297"/>
      <c r="G8" s="297" t="s">
        <v>457</v>
      </c>
      <c r="H8" s="297"/>
      <c r="I8" s="297" t="s">
        <v>458</v>
      </c>
      <c r="J8" s="297"/>
      <c r="K8" s="297" t="s">
        <v>459</v>
      </c>
      <c r="L8" s="297"/>
    </row>
    <row r="9" ht="20" customHeight="1" spans="1:12">
      <c r="A9" s="296"/>
      <c r="B9" s="296"/>
      <c r="C9" s="297"/>
      <c r="D9" s="298" t="s">
        <v>460</v>
      </c>
      <c r="E9" s="298" t="s">
        <v>454</v>
      </c>
      <c r="F9" s="298" t="s">
        <v>460</v>
      </c>
      <c r="G9" s="298" t="s">
        <v>454</v>
      </c>
      <c r="H9" s="298" t="s">
        <v>460</v>
      </c>
      <c r="I9" s="298" t="s">
        <v>454</v>
      </c>
      <c r="J9" s="298" t="s">
        <v>460</v>
      </c>
      <c r="K9" s="298" t="s">
        <v>454</v>
      </c>
      <c r="L9" s="332" t="s">
        <v>460</v>
      </c>
    </row>
    <row r="10" spans="1:12">
      <c r="A10" s="299"/>
      <c r="B10" s="300"/>
      <c r="C10" s="301"/>
      <c r="D10" s="87"/>
      <c r="E10" s="301"/>
      <c r="F10" s="87"/>
      <c r="G10" s="301"/>
      <c r="H10" s="87"/>
      <c r="I10" s="301"/>
      <c r="J10" s="87"/>
      <c r="K10" s="301"/>
      <c r="L10" s="333"/>
    </row>
    <row r="11" ht="26" customHeight="1" spans="1:12">
      <c r="A11" s="302" t="s">
        <v>12</v>
      </c>
      <c r="B11" s="303" t="str">
        <f>'ORÇAMENTO BÁSICO'!B10</f>
        <v>SERVIÇOS PRELIMINARES</v>
      </c>
      <c r="C11" s="304">
        <f>D11/D27</f>
        <v>0.0451961369362278</v>
      </c>
      <c r="D11" s="305">
        <f>'ORÇAMENTO BÁSICO'!H10</f>
        <v>23058.19</v>
      </c>
      <c r="E11" s="306">
        <v>1</v>
      </c>
      <c r="F11" s="307">
        <f t="shared" ref="F11:F26" si="0">D11*E11</f>
        <v>23058.19</v>
      </c>
      <c r="G11" s="306"/>
      <c r="H11" s="308">
        <f t="shared" ref="H11:H26" si="1">D11*G11</f>
        <v>0</v>
      </c>
      <c r="I11" s="301"/>
      <c r="J11" s="311">
        <f t="shared" ref="J11:J23" si="2">D11*I11</f>
        <v>0</v>
      </c>
      <c r="K11" s="301"/>
      <c r="L11" s="307"/>
    </row>
    <row r="12" ht="26" customHeight="1" spans="1:12">
      <c r="A12" s="302" t="s">
        <v>14</v>
      </c>
      <c r="B12" s="303" t="str">
        <f>'ORÇAMENTO BÁSICO'!B18</f>
        <v>DEMOLIÇÕES </v>
      </c>
      <c r="C12" s="304">
        <f>D12/D27</f>
        <v>0.0462740690526128</v>
      </c>
      <c r="D12" s="305">
        <f>'ORÇAMENTO BÁSICO'!H18</f>
        <v>23608.13</v>
      </c>
      <c r="E12" s="306">
        <v>1</v>
      </c>
      <c r="F12" s="307">
        <f t="shared" si="0"/>
        <v>23608.13</v>
      </c>
      <c r="G12" s="306"/>
      <c r="H12" s="308">
        <f t="shared" si="1"/>
        <v>0</v>
      </c>
      <c r="I12" s="301"/>
      <c r="J12" s="311">
        <f t="shared" si="2"/>
        <v>0</v>
      </c>
      <c r="K12" s="301"/>
      <c r="L12" s="307"/>
    </row>
    <row r="13" ht="26" customHeight="1" spans="1:12">
      <c r="A13" s="302" t="s">
        <v>16</v>
      </c>
      <c r="B13" s="303" t="str">
        <f>'ORÇAMENTO BÁSICO'!B33</f>
        <v>REVESTIMENTOS</v>
      </c>
      <c r="C13" s="304">
        <f>D13/D27</f>
        <v>0.233568351439505</v>
      </c>
      <c r="D13" s="305">
        <f>'ORÇAMENTO BÁSICO'!H33</f>
        <v>119162.03</v>
      </c>
      <c r="E13" s="301">
        <v>0.25</v>
      </c>
      <c r="F13" s="307">
        <f t="shared" si="0"/>
        <v>29790.5075</v>
      </c>
      <c r="G13" s="301">
        <v>0.25</v>
      </c>
      <c r="H13" s="309">
        <f t="shared" si="1"/>
        <v>29790.5075</v>
      </c>
      <c r="I13" s="301">
        <v>0.25</v>
      </c>
      <c r="J13" s="307">
        <f t="shared" si="2"/>
        <v>29790.5075</v>
      </c>
      <c r="K13" s="301">
        <v>0.25</v>
      </c>
      <c r="L13" s="307">
        <f t="shared" ref="L11:L23" si="3">D13*K13</f>
        <v>29790.5075</v>
      </c>
    </row>
    <row r="14" ht="31" customHeight="1" spans="1:12">
      <c r="A14" s="302" t="s">
        <v>18</v>
      </c>
      <c r="B14" s="310" t="str">
        <f>'ORÇAMENTO BÁSICO'!B45</f>
        <v>CONCRETO (ESTRUTURA DA CAIXA D'AGUA)</v>
      </c>
      <c r="C14" s="304">
        <f>D14/D27</f>
        <v>0.0226556461237105</v>
      </c>
      <c r="D14" s="305">
        <f>'ORÇAMENTO BÁSICO'!H45</f>
        <v>11558.47</v>
      </c>
      <c r="E14" s="301">
        <v>0.5</v>
      </c>
      <c r="F14" s="307">
        <f t="shared" si="0"/>
        <v>5779.235</v>
      </c>
      <c r="G14" s="301">
        <v>0.5</v>
      </c>
      <c r="H14" s="309">
        <f t="shared" si="1"/>
        <v>5779.235</v>
      </c>
      <c r="I14" s="301"/>
      <c r="J14" s="307"/>
      <c r="K14" s="301"/>
      <c r="L14" s="307"/>
    </row>
    <row r="15" ht="26" customHeight="1" spans="1:12">
      <c r="A15" s="302" t="s">
        <v>20</v>
      </c>
      <c r="B15" s="303" t="str">
        <f>'ORÇAMENTO BÁSICO'!B54</f>
        <v>COBERTA</v>
      </c>
      <c r="C15" s="304">
        <f>D15/D27</f>
        <v>0.134729479593058</v>
      </c>
      <c r="D15" s="305">
        <f>'ORÇAMENTO BÁSICO'!H54</f>
        <v>68736.36</v>
      </c>
      <c r="E15" s="301">
        <v>0.5</v>
      </c>
      <c r="F15" s="307">
        <f t="shared" si="0"/>
        <v>34368.18</v>
      </c>
      <c r="G15" s="301">
        <v>0.5</v>
      </c>
      <c r="H15" s="309">
        <f t="shared" si="1"/>
        <v>34368.18</v>
      </c>
      <c r="I15" s="301"/>
      <c r="J15" s="307"/>
      <c r="K15" s="301"/>
      <c r="L15" s="307"/>
    </row>
    <row r="16" ht="26" customHeight="1" spans="1:12">
      <c r="A16" s="302" t="s">
        <v>22</v>
      </c>
      <c r="B16" s="303" t="str">
        <f>'ORÇAMENTO BÁSICO'!B59</f>
        <v>ESQUADRIAS</v>
      </c>
      <c r="C16" s="304">
        <f>D16/D27</f>
        <v>0.0499361059530788</v>
      </c>
      <c r="D16" s="305">
        <f>'ORÇAMENTO BÁSICO'!H59</f>
        <v>25476.43</v>
      </c>
      <c r="E16" s="301"/>
      <c r="F16" s="311">
        <f t="shared" si="0"/>
        <v>0</v>
      </c>
      <c r="G16" s="301">
        <v>0.5</v>
      </c>
      <c r="H16" s="309">
        <f t="shared" si="1"/>
        <v>12738.215</v>
      </c>
      <c r="I16" s="301">
        <v>0.5</v>
      </c>
      <c r="J16" s="307">
        <f t="shared" si="2"/>
        <v>12738.215</v>
      </c>
      <c r="K16" s="301"/>
      <c r="L16" s="307">
        <f t="shared" si="3"/>
        <v>0</v>
      </c>
    </row>
    <row r="17" ht="26" customHeight="1" spans="1:12">
      <c r="A17" s="302" t="s">
        <v>24</v>
      </c>
      <c r="B17" s="303" t="str">
        <f>'ORÇAMENTO BÁSICO'!B65</f>
        <v>PINTURAS</v>
      </c>
      <c r="C17" s="304">
        <f>D17/D27</f>
        <v>0.0832628566494744</v>
      </c>
      <c r="D17" s="305">
        <f>'ORÇAMENTO BÁSICO'!H65</f>
        <v>42479.09</v>
      </c>
      <c r="E17" s="301"/>
      <c r="F17" s="311">
        <f t="shared" si="0"/>
        <v>0</v>
      </c>
      <c r="G17" s="301">
        <v>0.5</v>
      </c>
      <c r="H17" s="309">
        <f t="shared" si="1"/>
        <v>21239.545</v>
      </c>
      <c r="I17" s="301">
        <v>0.25</v>
      </c>
      <c r="J17" s="307">
        <f t="shared" si="2"/>
        <v>10619.7725</v>
      </c>
      <c r="K17" s="301">
        <v>0.25</v>
      </c>
      <c r="L17" s="307">
        <f t="shared" si="3"/>
        <v>10619.7725</v>
      </c>
    </row>
    <row r="18" ht="26" customHeight="1" spans="1:12">
      <c r="A18" s="302" t="s">
        <v>26</v>
      </c>
      <c r="B18" s="303" t="str">
        <f>'ORÇAMENTO BÁSICO'!B71</f>
        <v>PÁTIO</v>
      </c>
      <c r="C18" s="304">
        <f>D18/D27</f>
        <v>0.135058657175386</v>
      </c>
      <c r="D18" s="305">
        <f>'ORÇAMENTO BÁSICO'!H71</f>
        <v>68904.3</v>
      </c>
      <c r="E18" s="301"/>
      <c r="F18" s="311">
        <f t="shared" si="0"/>
        <v>0</v>
      </c>
      <c r="G18" s="301"/>
      <c r="H18" s="308">
        <f t="shared" si="1"/>
        <v>0</v>
      </c>
      <c r="I18" s="301">
        <v>0.5</v>
      </c>
      <c r="J18" s="307">
        <f t="shared" si="2"/>
        <v>34452.15</v>
      </c>
      <c r="K18" s="301">
        <v>0.5</v>
      </c>
      <c r="L18" s="307">
        <f t="shared" si="3"/>
        <v>34452.15</v>
      </c>
    </row>
    <row r="19" ht="26" customHeight="1" spans="1:12">
      <c r="A19" s="302" t="s">
        <v>28</v>
      </c>
      <c r="B19" s="303" t="str">
        <f>'ORÇAMENTO BÁSICO'!B77</f>
        <v>INSTALAÇÕES ELÉTRICAS</v>
      </c>
      <c r="C19" s="304">
        <f>D19/D27</f>
        <v>0.0625254725998473</v>
      </c>
      <c r="D19" s="305">
        <f>'ORÇAMENTO BÁSICO'!H77</f>
        <v>31899.28</v>
      </c>
      <c r="E19" s="301"/>
      <c r="F19" s="311">
        <f t="shared" si="0"/>
        <v>0</v>
      </c>
      <c r="G19" s="301"/>
      <c r="H19" s="308">
        <f t="shared" si="1"/>
        <v>0</v>
      </c>
      <c r="I19" s="301"/>
      <c r="J19" s="307"/>
      <c r="K19" s="301">
        <v>1</v>
      </c>
      <c r="L19" s="307">
        <f t="shared" si="3"/>
        <v>31899.28</v>
      </c>
    </row>
    <row r="20" ht="44" customHeight="1" spans="1:12">
      <c r="A20" s="302" t="s">
        <v>30</v>
      </c>
      <c r="B20" s="312" t="str">
        <f>'ORÇAMENTO BÁSICO'!B95</f>
        <v>INSTALAÇÕES HIDROSSANITÁRIAS</v>
      </c>
      <c r="C20" s="304">
        <f>D20/D27</f>
        <v>0.00503251250954197</v>
      </c>
      <c r="D20" s="305">
        <f>'ORÇAMENTO BÁSICO'!H95</f>
        <v>2567.49</v>
      </c>
      <c r="E20" s="301"/>
      <c r="F20" s="311">
        <f t="shared" si="0"/>
        <v>0</v>
      </c>
      <c r="G20" s="301"/>
      <c r="H20" s="308">
        <f t="shared" si="1"/>
        <v>0</v>
      </c>
      <c r="I20" s="301"/>
      <c r="J20" s="307"/>
      <c r="K20" s="301">
        <v>1</v>
      </c>
      <c r="L20" s="307">
        <f t="shared" si="3"/>
        <v>2567.49</v>
      </c>
    </row>
    <row r="21" ht="26" customHeight="1" spans="1:12">
      <c r="A21" s="302" t="s">
        <v>32</v>
      </c>
      <c r="B21" s="303" t="str">
        <f>'ORÇAMENTO BÁSICO'!B103</f>
        <v>DRENAGEM</v>
      </c>
      <c r="C21" s="304">
        <f>D21/D27</f>
        <v>0.0611358665084351</v>
      </c>
      <c r="D21" s="305">
        <f>'ORÇAMENTO BÁSICO'!H103</f>
        <v>31190.33</v>
      </c>
      <c r="E21" s="301"/>
      <c r="F21" s="311">
        <f t="shared" si="0"/>
        <v>0</v>
      </c>
      <c r="G21" s="301">
        <v>0.5</v>
      </c>
      <c r="H21" s="309">
        <f t="shared" si="1"/>
        <v>15595.165</v>
      </c>
      <c r="I21" s="306">
        <v>0.5</v>
      </c>
      <c r="J21" s="307">
        <f t="shared" si="2"/>
        <v>15595.165</v>
      </c>
      <c r="K21" s="301"/>
      <c r="L21" s="307"/>
    </row>
    <row r="22" ht="26" customHeight="1" spans="1:12">
      <c r="A22" s="302" t="s">
        <v>34</v>
      </c>
      <c r="B22" s="303" t="str">
        <f>'ORÇAMENTO BÁSICO'!B115</f>
        <v>RECUPERAÇÃO DA FOSSA</v>
      </c>
      <c r="C22" s="304">
        <f>D22/D27</f>
        <v>0.00998393607909984</v>
      </c>
      <c r="D22" s="305">
        <f>'ORÇAMENTO BÁSICO'!H115</f>
        <v>5093.61</v>
      </c>
      <c r="E22" s="301"/>
      <c r="F22" s="311">
        <f t="shared" si="0"/>
        <v>0</v>
      </c>
      <c r="G22" s="301">
        <v>0.5</v>
      </c>
      <c r="H22" s="309">
        <f t="shared" si="1"/>
        <v>2546.805</v>
      </c>
      <c r="I22" s="301">
        <v>0.5</v>
      </c>
      <c r="J22" s="307">
        <f t="shared" si="2"/>
        <v>2546.805</v>
      </c>
      <c r="K22" s="301"/>
      <c r="L22" s="307"/>
    </row>
    <row r="23" ht="26" customHeight="1" spans="1:12">
      <c r="A23" s="302" t="s">
        <v>36</v>
      </c>
      <c r="B23" s="303" t="str">
        <f>'ORÇAMENTO BÁSICO'!B124</f>
        <v>FILTRO ANAERÓBICO</v>
      </c>
      <c r="C23" s="304">
        <f>D23/D27</f>
        <v>0.0352707487574742</v>
      </c>
      <c r="D23" s="305">
        <f>'ORÇAMENTO BÁSICO'!H124</f>
        <v>17994.45</v>
      </c>
      <c r="E23" s="301"/>
      <c r="F23" s="311">
        <f t="shared" si="0"/>
        <v>0</v>
      </c>
      <c r="G23" s="301">
        <v>0.5</v>
      </c>
      <c r="H23" s="309">
        <f t="shared" si="1"/>
        <v>8997.225</v>
      </c>
      <c r="I23" s="301">
        <v>0.5</v>
      </c>
      <c r="J23" s="307">
        <f t="shared" si="2"/>
        <v>8997.225</v>
      </c>
      <c r="K23" s="301"/>
      <c r="L23" s="307"/>
    </row>
    <row r="24" ht="39" customHeight="1" spans="1:12">
      <c r="A24" s="302" t="s">
        <v>38</v>
      </c>
      <c r="B24" s="312" t="str">
        <f>'ORÇAMENTO BÁSICO'!B138</f>
        <v>REFORÇO DA PAREDE DA DESPENSA</v>
      </c>
      <c r="C24" s="304">
        <f>D24/D27</f>
        <v>0.00845810370465907</v>
      </c>
      <c r="D24" s="305">
        <f>'ORÇAMENTO BÁSICO'!H138</f>
        <v>4315.16</v>
      </c>
      <c r="E24" s="301">
        <v>0.5</v>
      </c>
      <c r="F24" s="307">
        <f t="shared" si="0"/>
        <v>2157.58</v>
      </c>
      <c r="G24" s="301">
        <v>0.5</v>
      </c>
      <c r="H24" s="309">
        <f t="shared" si="1"/>
        <v>2157.58</v>
      </c>
      <c r="I24" s="301"/>
      <c r="J24" s="307"/>
      <c r="K24" s="301"/>
      <c r="L24" s="307"/>
    </row>
    <row r="25" ht="26" customHeight="1" spans="1:12">
      <c r="A25" s="302" t="s">
        <v>40</v>
      </c>
      <c r="B25" s="303" t="str">
        <f>'ORÇAMENTO BÁSICO'!B149</f>
        <v>SERVIÇOS COMPLEMENTARES</v>
      </c>
      <c r="C25" s="304">
        <f>D25/D27</f>
        <v>0.0643982409756703</v>
      </c>
      <c r="D25" s="305">
        <f>'ORÇAMENTO BÁSICO'!H149</f>
        <v>32854.73</v>
      </c>
      <c r="E25" s="301">
        <v>0.5</v>
      </c>
      <c r="F25" s="307">
        <f t="shared" si="0"/>
        <v>16427.365</v>
      </c>
      <c r="G25" s="301">
        <v>0.5</v>
      </c>
      <c r="H25" s="307">
        <f t="shared" si="1"/>
        <v>16427.365</v>
      </c>
      <c r="I25" s="334"/>
      <c r="J25" s="335"/>
      <c r="K25" s="334"/>
      <c r="L25" s="335"/>
    </row>
    <row r="26" ht="26" customHeight="1" spans="1:12">
      <c r="A26" s="302" t="s">
        <v>42</v>
      </c>
      <c r="B26" s="303" t="str">
        <f>'ORÇAMENTO BÁSICO'!B154</f>
        <v>LIMPEZA</v>
      </c>
      <c r="C26" s="304">
        <f>D26/D27</f>
        <v>0.00251381594221889</v>
      </c>
      <c r="D26" s="305">
        <f>'ORÇAMENTO BÁSICO'!H154</f>
        <v>1282.5</v>
      </c>
      <c r="E26" s="301"/>
      <c r="F26" s="311">
        <f t="shared" si="0"/>
        <v>0</v>
      </c>
      <c r="G26" s="301"/>
      <c r="H26" s="309"/>
      <c r="I26" s="301"/>
      <c r="J26" s="307"/>
      <c r="K26" s="301">
        <v>1</v>
      </c>
      <c r="L26" s="307">
        <f>D26*K26</f>
        <v>1282.5</v>
      </c>
    </row>
    <row r="27" ht="45" customHeight="1" spans="1:12">
      <c r="A27" s="313"/>
      <c r="B27" s="314" t="s">
        <v>461</v>
      </c>
      <c r="C27" s="315">
        <f>SUM(C11:C26)</f>
        <v>1</v>
      </c>
      <c r="D27" s="122">
        <f>SUM(D11:D26)</f>
        <v>510180.55</v>
      </c>
      <c r="E27" s="316">
        <f>F27/D28</f>
        <v>0.264983029047266</v>
      </c>
      <c r="F27" s="122">
        <f>SUM(F11:F26)</f>
        <v>135189.1875</v>
      </c>
      <c r="G27" s="316">
        <f>H27/D28</f>
        <v>0.293307580032206</v>
      </c>
      <c r="H27" s="122">
        <f>SUM(H11:H26)</f>
        <v>149639.8225</v>
      </c>
      <c r="I27" s="316">
        <f>J27/D28</f>
        <v>0.224900459258982</v>
      </c>
      <c r="J27" s="122">
        <f>SUM(J11:J26)</f>
        <v>114739.84</v>
      </c>
      <c r="K27" s="316">
        <f>L27/D28</f>
        <v>0.216808931661546</v>
      </c>
      <c r="L27" s="122">
        <f>SUM(L11:L26)</f>
        <v>110611.7</v>
      </c>
    </row>
    <row r="28" ht="45" customHeight="1" spans="1:12">
      <c r="A28" s="317"/>
      <c r="B28" s="318" t="s">
        <v>462</v>
      </c>
      <c r="C28" s="319">
        <f>C27</f>
        <v>1</v>
      </c>
      <c r="D28" s="320">
        <f>D27</f>
        <v>510180.55</v>
      </c>
      <c r="E28" s="321">
        <f>E27</f>
        <v>0.264983029047266</v>
      </c>
      <c r="F28" s="320">
        <f>F27</f>
        <v>135189.1875</v>
      </c>
      <c r="G28" s="322">
        <f>G27+E28</f>
        <v>0.558290609079472</v>
      </c>
      <c r="H28" s="320">
        <f>F28+H27</f>
        <v>284829.01</v>
      </c>
      <c r="I28" s="322">
        <f>I27+G28</f>
        <v>0.783191068338454</v>
      </c>
      <c r="J28" s="320">
        <f>J27+H28</f>
        <v>399568.85</v>
      </c>
      <c r="K28" s="336">
        <f>K27+I28</f>
        <v>1</v>
      </c>
      <c r="L28" s="320">
        <f>J28+L27</f>
        <v>510180.55</v>
      </c>
    </row>
    <row r="29" ht="11" customHeight="1" spans="1:12">
      <c r="A29" s="323"/>
      <c r="B29" s="324"/>
      <c r="C29" s="325"/>
      <c r="D29" s="325"/>
      <c r="E29" s="325"/>
      <c r="F29" s="325"/>
      <c r="G29" s="325"/>
      <c r="H29" s="325"/>
      <c r="I29" s="325"/>
      <c r="J29" s="325"/>
      <c r="K29" s="325"/>
      <c r="L29" s="337"/>
    </row>
    <row r="30" ht="23" customHeight="1" spans="1:12">
      <c r="A30" s="292" t="str">
        <f>'ORÇAMENTO BÁSICO'!C158</f>
        <v>(QUINHENTOS E DEZ MIL,  CENTO E OITENTA REAIS E  CINQUENTA E CINCO CENTAVOS)</v>
      </c>
      <c r="B30" s="292"/>
      <c r="C30" s="292"/>
      <c r="D30" s="292"/>
      <c r="E30" s="292"/>
      <c r="F30" s="292"/>
      <c r="G30" s="292"/>
      <c r="H30" s="292"/>
      <c r="I30" s="292"/>
      <c r="J30" s="292"/>
      <c r="K30" s="292"/>
      <c r="L30" s="292"/>
    </row>
    <row r="31" ht="11" customHeight="1" spans="1:12">
      <c r="A31" s="326"/>
      <c r="C31" s="327"/>
      <c r="D31" s="327"/>
      <c r="E31" s="327"/>
      <c r="F31" s="327"/>
      <c r="G31" s="327"/>
      <c r="H31" s="327"/>
      <c r="I31" s="327"/>
      <c r="J31" s="327"/>
      <c r="K31" s="327"/>
      <c r="L31" s="338"/>
    </row>
    <row r="32" ht="11" customHeight="1" spans="1:12">
      <c r="A32" s="328"/>
      <c r="B32" s="329"/>
      <c r="C32" s="329"/>
      <c r="D32" s="329"/>
      <c r="E32" s="329"/>
      <c r="F32" s="329"/>
      <c r="G32" s="329"/>
      <c r="H32" s="329"/>
      <c r="I32" s="329"/>
      <c r="J32" s="339"/>
      <c r="K32" s="339"/>
      <c r="L32" s="340"/>
    </row>
    <row r="33" spans="1:12">
      <c r="A33" s="330"/>
      <c r="B33" s="330"/>
      <c r="C33" s="330"/>
      <c r="D33" s="330"/>
      <c r="E33" s="330"/>
      <c r="F33" s="330"/>
      <c r="G33" s="330"/>
      <c r="H33" s="330"/>
      <c r="I33" s="330"/>
      <c r="J33" s="341"/>
      <c r="K33" s="341"/>
      <c r="L33" s="327"/>
    </row>
    <row r="35" spans="6:6">
      <c r="F35" s="331"/>
    </row>
  </sheetData>
  <mergeCells count="15">
    <mergeCell ref="A1:L1"/>
    <mergeCell ref="A2:L2"/>
    <mergeCell ref="A3:L3"/>
    <mergeCell ref="A4:L4"/>
    <mergeCell ref="A5:L5"/>
    <mergeCell ref="A6:L6"/>
    <mergeCell ref="A7:L7"/>
    <mergeCell ref="E8:F8"/>
    <mergeCell ref="G8:H8"/>
    <mergeCell ref="I8:J8"/>
    <mergeCell ref="K8:L8"/>
    <mergeCell ref="A30:L30"/>
    <mergeCell ref="A8:A9"/>
    <mergeCell ref="B8:B9"/>
    <mergeCell ref="C8:C9"/>
  </mergeCells>
  <printOptions horizontalCentered="1"/>
  <pageMargins left="0" right="0" top="0" bottom="0" header="0" footer="0"/>
  <pageSetup paperSize="9" scale="46" firstPageNumber="0" orientation="portrait" useFirstPageNumber="1" horizontalDpi="300" verticalDpi="300"/>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K203"/>
  <sheetViews>
    <sheetView view="pageBreakPreview" zoomScale="58" zoomScalePageLayoutView="80" zoomScaleNormal="100" topLeftCell="A23" workbookViewId="0">
      <selection activeCell="H31" sqref="H31"/>
    </sheetView>
  </sheetViews>
  <sheetFormatPr defaultColWidth="10.6222222222222" defaultRowHeight="15.75"/>
  <cols>
    <col min="1" max="1" width="8.5" style="57" customWidth="1"/>
    <col min="2" max="2" width="35" style="57" customWidth="1"/>
    <col min="3" max="3" width="104.833333333333" style="57" customWidth="1"/>
    <col min="4" max="4" width="9.64444444444444" style="57" customWidth="1"/>
    <col min="5" max="5" width="14.5" style="59" customWidth="1"/>
    <col min="6" max="6" width="19" style="59" customWidth="1"/>
    <col min="7" max="7" width="21.0444444444444" style="59" customWidth="1"/>
    <col min="8" max="8" width="22.0888888888889" style="226" customWidth="1"/>
    <col min="9" max="9" width="16.2444444444444" style="227" customWidth="1"/>
    <col min="10" max="10" width="10.6444444444444" style="57"/>
    <col min="11" max="11" width="12.6666666666667" style="57" customWidth="1"/>
    <col min="12" max="1025" width="10.6444444444444" style="57"/>
    <col min="1026" max="16384" width="10.6222222222222" style="55"/>
  </cols>
  <sheetData>
    <row r="1" s="57" customFormat="1" ht="82" customHeight="1" spans="1:9">
      <c r="A1" s="228" t="s">
        <v>0</v>
      </c>
      <c r="B1" s="228"/>
      <c r="C1" s="228"/>
      <c r="D1" s="228"/>
      <c r="E1" s="228"/>
      <c r="F1" s="228"/>
      <c r="G1" s="228"/>
      <c r="H1" s="229"/>
      <c r="I1" s="274"/>
    </row>
    <row r="2" s="57" customFormat="1" ht="31" customHeight="1" spans="1:9">
      <c r="A2" s="230" t="s">
        <v>1</v>
      </c>
      <c r="B2" s="230"/>
      <c r="C2" s="230"/>
      <c r="D2" s="230"/>
      <c r="E2" s="230"/>
      <c r="F2" s="230"/>
      <c r="G2" s="230"/>
      <c r="H2" s="231"/>
      <c r="I2" s="275"/>
    </row>
    <row r="3" s="57" customFormat="1" ht="28" customHeight="1" spans="1:9">
      <c r="A3" s="232" t="s">
        <v>463</v>
      </c>
      <c r="B3" s="232"/>
      <c r="C3" s="232"/>
      <c r="D3" s="232"/>
      <c r="E3" s="232"/>
      <c r="F3" s="232"/>
      <c r="G3" s="232"/>
      <c r="H3" s="233"/>
      <c r="I3" s="276"/>
    </row>
    <row r="4" ht="41.25" customHeight="1" spans="1:9">
      <c r="A4" s="234" t="s">
        <v>3</v>
      </c>
      <c r="B4" s="234"/>
      <c r="C4" s="201" t="s">
        <v>4</v>
      </c>
      <c r="D4" s="201"/>
      <c r="E4" s="201"/>
      <c r="F4" s="201"/>
      <c r="G4" s="201"/>
      <c r="H4" s="235"/>
      <c r="I4" s="277"/>
    </row>
    <row r="5" ht="29.25" customHeight="1" spans="1:9">
      <c r="A5" s="63" t="s">
        <v>5</v>
      </c>
      <c r="B5" s="63"/>
      <c r="C5" s="201" t="s">
        <v>6</v>
      </c>
      <c r="D5" s="201"/>
      <c r="E5" s="201"/>
      <c r="F5" s="201"/>
      <c r="G5" s="201"/>
      <c r="H5" s="235"/>
      <c r="I5" s="277"/>
    </row>
    <row r="6" ht="35.25" customHeight="1" spans="1:9">
      <c r="A6" s="63" t="s">
        <v>7</v>
      </c>
      <c r="B6" s="63"/>
      <c r="C6" s="201" t="str">
        <f>RESUMO!B6</f>
        <v>COMPOSIÇÕES DE CUSTOS  E COTAÇÃO + TABELA DA SINAPI-PE (DEZ/2020)-DESONERADA E EMLURB (JULHO/2018)  + (BDI 28,82%).</v>
      </c>
      <c r="D6" s="201"/>
      <c r="E6" s="201"/>
      <c r="F6" s="201"/>
      <c r="G6" s="201"/>
      <c r="H6" s="235"/>
      <c r="I6" s="277"/>
    </row>
    <row r="7" s="54" customFormat="1" ht="16.7" customHeight="1" spans="1:9">
      <c r="A7" s="236" t="s">
        <v>9</v>
      </c>
      <c r="B7" s="236" t="s">
        <v>46</v>
      </c>
      <c r="C7" s="237" t="s">
        <v>10</v>
      </c>
      <c r="D7" s="238" t="s">
        <v>47</v>
      </c>
      <c r="E7" s="238" t="s">
        <v>48</v>
      </c>
      <c r="F7" s="237" t="s">
        <v>464</v>
      </c>
      <c r="G7" s="239" t="s">
        <v>50</v>
      </c>
      <c r="H7" s="240">
        <v>0.2882</v>
      </c>
      <c r="I7" s="278" t="s">
        <v>454</v>
      </c>
    </row>
    <row r="8" s="54" customFormat="1" ht="16.7" customHeight="1" spans="1:9">
      <c r="A8" s="236"/>
      <c r="B8" s="236"/>
      <c r="C8" s="237"/>
      <c r="D8" s="238"/>
      <c r="E8" s="238"/>
      <c r="F8" s="237"/>
      <c r="G8" s="239"/>
      <c r="H8" s="240"/>
      <c r="I8" s="278"/>
    </row>
    <row r="9" s="54" customFormat="1" ht="17.85" customHeight="1" spans="1:9">
      <c r="A9" s="236"/>
      <c r="B9" s="236"/>
      <c r="C9" s="237"/>
      <c r="D9" s="238"/>
      <c r="E9" s="238"/>
      <c r="F9" s="237"/>
      <c r="G9" s="241" t="s">
        <v>465</v>
      </c>
      <c r="H9" s="242" t="s">
        <v>466</v>
      </c>
      <c r="I9" s="278"/>
    </row>
    <row r="10" s="54" customFormat="1" ht="37" customHeight="1" spans="1:9">
      <c r="A10" s="236"/>
      <c r="B10" s="236"/>
      <c r="C10" s="237"/>
      <c r="D10" s="238"/>
      <c r="E10" s="238"/>
      <c r="F10" s="237"/>
      <c r="G10" s="241"/>
      <c r="H10" s="242"/>
      <c r="I10" s="278"/>
    </row>
    <row r="11" s="54" customFormat="1" ht="66" customHeight="1" spans="1:9">
      <c r="A11" s="243" t="s">
        <v>125</v>
      </c>
      <c r="B11" s="244" t="s">
        <v>126</v>
      </c>
      <c r="C11" s="245" t="s">
        <v>127</v>
      </c>
      <c r="D11" s="246" t="s">
        <v>56</v>
      </c>
      <c r="E11" s="247">
        <f>'MEMÓRIA DE CÁLCULO'!E105</f>
        <v>825.49</v>
      </c>
      <c r="F11" s="248">
        <v>37.15</v>
      </c>
      <c r="G11" s="249">
        <f t="shared" ref="G11:G74" si="0">TRUNC(F11+F11*$H$7,2)</f>
        <v>47.85</v>
      </c>
      <c r="H11" s="250">
        <f>TRUNC(E11*G11,2)</f>
        <v>39499.69</v>
      </c>
      <c r="I11" s="279">
        <f t="shared" ref="I11:I74" si="1">H11/$H$127</f>
        <v>0.0774229633019134</v>
      </c>
    </row>
    <row r="12" s="54" customFormat="1" ht="32" customHeight="1" spans="1:9">
      <c r="A12" s="243" t="s">
        <v>122</v>
      </c>
      <c r="B12" s="244" t="s">
        <v>123</v>
      </c>
      <c r="C12" s="251" t="s">
        <v>124</v>
      </c>
      <c r="D12" s="252" t="s">
        <v>56</v>
      </c>
      <c r="E12" s="253">
        <f>'MEMÓRIA DE CÁLCULO'!E86</f>
        <v>825.49</v>
      </c>
      <c r="F12" s="249">
        <v>32.94</v>
      </c>
      <c r="G12" s="249">
        <f t="shared" si="0"/>
        <v>42.43</v>
      </c>
      <c r="H12" s="250">
        <f>TRUNC(E12*G12,2)</f>
        <v>35025.54</v>
      </c>
      <c r="I12" s="280">
        <f t="shared" si="1"/>
        <v>0.0686532248240353</v>
      </c>
    </row>
    <row r="13" s="54" customFormat="1" ht="35" customHeight="1" spans="1:9">
      <c r="A13" s="254" t="s">
        <v>162</v>
      </c>
      <c r="B13" s="255" t="s">
        <v>163</v>
      </c>
      <c r="C13" s="256" t="s">
        <v>164</v>
      </c>
      <c r="D13" s="252" t="s">
        <v>56</v>
      </c>
      <c r="E13" s="257">
        <f>'MEMÓRIA DE CÁLCULO'!E166</f>
        <v>172.8</v>
      </c>
      <c r="F13" s="258">
        <v>148.76</v>
      </c>
      <c r="G13" s="258">
        <f t="shared" si="0"/>
        <v>191.63</v>
      </c>
      <c r="H13" s="259">
        <v>33113.66</v>
      </c>
      <c r="I13" s="280">
        <f t="shared" si="1"/>
        <v>0.064905767183794</v>
      </c>
    </row>
    <row r="14" s="54" customFormat="1" ht="30" customHeight="1" spans="1:9">
      <c r="A14" s="243" t="s">
        <v>371</v>
      </c>
      <c r="B14" s="244" t="s">
        <v>372</v>
      </c>
      <c r="C14" s="256" t="s">
        <v>373</v>
      </c>
      <c r="D14" s="252" t="s">
        <v>73</v>
      </c>
      <c r="E14" s="260">
        <f>'MEMÓRIA DE CÁLCULO'!E297</f>
        <v>30</v>
      </c>
      <c r="F14" s="259">
        <f>'Composições de Custo'!G26</f>
        <v>707.1</v>
      </c>
      <c r="G14" s="250">
        <f t="shared" si="0"/>
        <v>910.88</v>
      </c>
      <c r="H14" s="250">
        <f>TRUNC(E14*G14,2)</f>
        <v>27326.4</v>
      </c>
      <c r="I14" s="280">
        <f t="shared" si="1"/>
        <v>0.0535622143964524</v>
      </c>
    </row>
    <row r="15" s="54" customFormat="1" ht="50" customHeight="1" spans="1:9">
      <c r="A15" s="243" t="s">
        <v>184</v>
      </c>
      <c r="B15" s="244" t="s">
        <v>185</v>
      </c>
      <c r="C15" s="256" t="s">
        <v>186</v>
      </c>
      <c r="D15" s="252" t="s">
        <v>56</v>
      </c>
      <c r="E15" s="253">
        <f>'MEMÓRIA DE CÁLCULO'!E178</f>
        <v>1350.92</v>
      </c>
      <c r="F15" s="259">
        <v>15.19</v>
      </c>
      <c r="G15" s="258">
        <f t="shared" si="0"/>
        <v>19.56</v>
      </c>
      <c r="H15" s="250">
        <v>26423.99</v>
      </c>
      <c r="I15" s="280">
        <f t="shared" si="1"/>
        <v>0.0517934092156198</v>
      </c>
    </row>
    <row r="16" s="54" customFormat="1" ht="27" customHeight="1" spans="1:9">
      <c r="A16" s="254" t="s">
        <v>165</v>
      </c>
      <c r="B16" s="255" t="s">
        <v>166</v>
      </c>
      <c r="C16" s="256" t="s">
        <v>167</v>
      </c>
      <c r="D16" s="252" t="s">
        <v>56</v>
      </c>
      <c r="E16" s="257">
        <f>'MEMÓRIA DE CÁLCULO'!E167</f>
        <v>307.58</v>
      </c>
      <c r="F16" s="258">
        <v>65.56</v>
      </c>
      <c r="G16" s="258">
        <f t="shared" si="0"/>
        <v>84.45</v>
      </c>
      <c r="H16" s="259">
        <f t="shared" ref="H16:H28" si="2">TRUNC(E16*G16,2)</f>
        <v>25975.13</v>
      </c>
      <c r="I16" s="280">
        <f t="shared" si="1"/>
        <v>0.0509136030371993</v>
      </c>
    </row>
    <row r="17" s="54" customFormat="1" ht="53" customHeight="1" spans="1:9">
      <c r="A17" s="243" t="s">
        <v>198</v>
      </c>
      <c r="B17" s="244" t="s">
        <v>199</v>
      </c>
      <c r="C17" s="256" t="s">
        <v>200</v>
      </c>
      <c r="D17" s="252" t="s">
        <v>56</v>
      </c>
      <c r="E17" s="253">
        <f>'MEMÓRIA DE CÁLCULO'!E208</f>
        <v>450</v>
      </c>
      <c r="F17" s="259">
        <v>43.54</v>
      </c>
      <c r="G17" s="250">
        <f t="shared" si="0"/>
        <v>56.08</v>
      </c>
      <c r="H17" s="250">
        <f t="shared" si="2"/>
        <v>25236</v>
      </c>
      <c r="I17" s="280">
        <f t="shared" si="1"/>
        <v>0.0494648414174158</v>
      </c>
    </row>
    <row r="18" s="54" customFormat="1" ht="34" customHeight="1" spans="1:9">
      <c r="A18" s="243" t="s">
        <v>197</v>
      </c>
      <c r="B18" s="244" t="s">
        <v>145</v>
      </c>
      <c r="C18" s="256" t="s">
        <v>146</v>
      </c>
      <c r="D18" s="252" t="s">
        <v>66</v>
      </c>
      <c r="E18" s="253">
        <f>'MEMÓRIA DE CÁLCULO'!E207</f>
        <v>45</v>
      </c>
      <c r="F18" s="259">
        <v>417.36</v>
      </c>
      <c r="G18" s="250">
        <f t="shared" si="0"/>
        <v>537.64</v>
      </c>
      <c r="H18" s="250">
        <f t="shared" si="2"/>
        <v>24193.8</v>
      </c>
      <c r="I18" s="280">
        <f t="shared" si="1"/>
        <v>0.0474220351991074</v>
      </c>
    </row>
    <row r="19" s="54" customFormat="1" ht="54" customHeight="1" spans="1:9">
      <c r="A19" s="243" t="s">
        <v>128</v>
      </c>
      <c r="B19" s="244" t="s">
        <v>129</v>
      </c>
      <c r="C19" s="251" t="s">
        <v>130</v>
      </c>
      <c r="D19" s="252" t="s">
        <v>56</v>
      </c>
      <c r="E19" s="253">
        <f>'MEMÓRIA DE CÁLCULO'!E124</f>
        <v>405</v>
      </c>
      <c r="F19" s="258">
        <v>38.09</v>
      </c>
      <c r="G19" s="249">
        <f t="shared" si="0"/>
        <v>49.06</v>
      </c>
      <c r="H19" s="250">
        <f t="shared" si="2"/>
        <v>19869.3</v>
      </c>
      <c r="I19" s="280">
        <f t="shared" si="1"/>
        <v>0.0389456242500817</v>
      </c>
    </row>
    <row r="20" s="225" customFormat="1" ht="48" customHeight="1" spans="1:1025">
      <c r="A20" s="243" t="s">
        <v>229</v>
      </c>
      <c r="B20" s="244" t="s">
        <v>230</v>
      </c>
      <c r="C20" s="256" t="s">
        <v>231</v>
      </c>
      <c r="D20" s="252" t="s">
        <v>207</v>
      </c>
      <c r="E20" s="261">
        <f>'MEMÓRIA DE CÁLCULO'!E219</f>
        <v>3000</v>
      </c>
      <c r="F20" s="262">
        <v>5.01</v>
      </c>
      <c r="G20" s="250">
        <f t="shared" si="0"/>
        <v>6.45</v>
      </c>
      <c r="H20" s="250">
        <f t="shared" si="2"/>
        <v>19350</v>
      </c>
      <c r="I20" s="280">
        <f t="shared" si="1"/>
        <v>0.0379277493036534</v>
      </c>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281"/>
      <c r="II20" s="281"/>
      <c r="IJ20" s="281"/>
      <c r="IK20" s="281"/>
      <c r="IL20" s="281"/>
      <c r="IM20" s="281"/>
      <c r="IN20" s="281"/>
      <c r="IO20" s="281"/>
      <c r="IP20" s="281"/>
      <c r="IQ20" s="281"/>
      <c r="IR20" s="281"/>
      <c r="IS20" s="281"/>
      <c r="IT20" s="281"/>
      <c r="IU20" s="281"/>
      <c r="IV20" s="281"/>
      <c r="IW20" s="281"/>
      <c r="IX20" s="281"/>
      <c r="IY20" s="281"/>
      <c r="IZ20" s="281"/>
      <c r="JA20" s="281"/>
      <c r="JB20" s="281"/>
      <c r="JC20" s="281"/>
      <c r="JD20" s="281"/>
      <c r="JE20" s="281"/>
      <c r="JF20" s="281"/>
      <c r="JG20" s="281"/>
      <c r="JH20" s="281"/>
      <c r="JI20" s="281"/>
      <c r="JJ20" s="281"/>
      <c r="JK20" s="281"/>
      <c r="JL20" s="281"/>
      <c r="JM20" s="281"/>
      <c r="JN20" s="281"/>
      <c r="JO20" s="281"/>
      <c r="JP20" s="281"/>
      <c r="JQ20" s="281"/>
      <c r="JR20" s="281"/>
      <c r="JS20" s="281"/>
      <c r="JT20" s="281"/>
      <c r="JU20" s="281"/>
      <c r="JV20" s="281"/>
      <c r="JW20" s="281"/>
      <c r="JX20" s="281"/>
      <c r="JY20" s="281"/>
      <c r="JZ20" s="281"/>
      <c r="KA20" s="281"/>
      <c r="KB20" s="281"/>
      <c r="KC20" s="281"/>
      <c r="KD20" s="281"/>
      <c r="KE20" s="281"/>
      <c r="KF20" s="281"/>
      <c r="KG20" s="281"/>
      <c r="KH20" s="281"/>
      <c r="KI20" s="281"/>
      <c r="KJ20" s="281"/>
      <c r="KK20" s="281"/>
      <c r="KL20" s="281"/>
      <c r="KM20" s="281"/>
      <c r="KN20" s="281"/>
      <c r="KO20" s="281"/>
      <c r="KP20" s="281"/>
      <c r="KQ20" s="281"/>
      <c r="KR20" s="281"/>
      <c r="KS20" s="281"/>
      <c r="KT20" s="281"/>
      <c r="KU20" s="281"/>
      <c r="KV20" s="281"/>
      <c r="KW20" s="281"/>
      <c r="KX20" s="281"/>
      <c r="KY20" s="281"/>
      <c r="KZ20" s="281"/>
      <c r="LA20" s="281"/>
      <c r="LB20" s="281"/>
      <c r="LC20" s="281"/>
      <c r="LD20" s="281"/>
      <c r="LE20" s="281"/>
      <c r="LF20" s="281"/>
      <c r="LG20" s="281"/>
      <c r="LH20" s="281"/>
      <c r="LI20" s="281"/>
      <c r="LJ20" s="281"/>
      <c r="LK20" s="281"/>
      <c r="LL20" s="281"/>
      <c r="LM20" s="281"/>
      <c r="LN20" s="281"/>
      <c r="LO20" s="281"/>
      <c r="LP20" s="281"/>
      <c r="LQ20" s="281"/>
      <c r="LR20" s="281"/>
      <c r="LS20" s="281"/>
      <c r="LT20" s="281"/>
      <c r="LU20" s="281"/>
      <c r="LV20" s="281"/>
      <c r="LW20" s="281"/>
      <c r="LX20" s="281"/>
      <c r="LY20" s="281"/>
      <c r="LZ20" s="281"/>
      <c r="MA20" s="281"/>
      <c r="MB20" s="281"/>
      <c r="MC20" s="281"/>
      <c r="MD20" s="281"/>
      <c r="ME20" s="281"/>
      <c r="MF20" s="281"/>
      <c r="MG20" s="281"/>
      <c r="MH20" s="281"/>
      <c r="MI20" s="281"/>
      <c r="MJ20" s="281"/>
      <c r="MK20" s="281"/>
      <c r="ML20" s="281"/>
      <c r="MM20" s="281"/>
      <c r="MN20" s="281"/>
      <c r="MO20" s="281"/>
      <c r="MP20" s="281"/>
      <c r="MQ20" s="281"/>
      <c r="MR20" s="281"/>
      <c r="MS20" s="281"/>
      <c r="MT20" s="281"/>
      <c r="MU20" s="281"/>
      <c r="MV20" s="281"/>
      <c r="MW20" s="281"/>
      <c r="MX20" s="281"/>
      <c r="MY20" s="281"/>
      <c r="MZ20" s="281"/>
      <c r="NA20" s="281"/>
      <c r="NB20" s="281"/>
      <c r="NC20" s="281"/>
      <c r="ND20" s="281"/>
      <c r="NE20" s="281"/>
      <c r="NF20" s="281"/>
      <c r="NG20" s="281"/>
      <c r="NH20" s="281"/>
      <c r="NI20" s="281"/>
      <c r="NJ20" s="281"/>
      <c r="NK20" s="281"/>
      <c r="NL20" s="281"/>
      <c r="NM20" s="281"/>
      <c r="NN20" s="281"/>
      <c r="NO20" s="281"/>
      <c r="NP20" s="281"/>
      <c r="NQ20" s="281"/>
      <c r="NR20" s="281"/>
      <c r="NS20" s="281"/>
      <c r="NT20" s="281"/>
      <c r="NU20" s="281"/>
      <c r="NV20" s="281"/>
      <c r="NW20" s="281"/>
      <c r="NX20" s="281"/>
      <c r="NY20" s="281"/>
      <c r="NZ20" s="281"/>
      <c r="OA20" s="281"/>
      <c r="OB20" s="281"/>
      <c r="OC20" s="281"/>
      <c r="OD20" s="281"/>
      <c r="OE20" s="281"/>
      <c r="OF20" s="281"/>
      <c r="OG20" s="281"/>
      <c r="OH20" s="281"/>
      <c r="OI20" s="281"/>
      <c r="OJ20" s="281"/>
      <c r="OK20" s="281"/>
      <c r="OL20" s="281"/>
      <c r="OM20" s="281"/>
      <c r="ON20" s="281"/>
      <c r="OO20" s="281"/>
      <c r="OP20" s="281"/>
      <c r="OQ20" s="281"/>
      <c r="OR20" s="281"/>
      <c r="OS20" s="281"/>
      <c r="OT20" s="281"/>
      <c r="OU20" s="281"/>
      <c r="OV20" s="281"/>
      <c r="OW20" s="281"/>
      <c r="OX20" s="281"/>
      <c r="OY20" s="281"/>
      <c r="OZ20" s="281"/>
      <c r="PA20" s="281"/>
      <c r="PB20" s="281"/>
      <c r="PC20" s="281"/>
      <c r="PD20" s="281"/>
      <c r="PE20" s="281"/>
      <c r="PF20" s="281"/>
      <c r="PG20" s="281"/>
      <c r="PH20" s="281"/>
      <c r="PI20" s="281"/>
      <c r="PJ20" s="281"/>
      <c r="PK20" s="281"/>
      <c r="PL20" s="281"/>
      <c r="PM20" s="281"/>
      <c r="PN20" s="281"/>
      <c r="PO20" s="281"/>
      <c r="PP20" s="281"/>
      <c r="PQ20" s="281"/>
      <c r="PR20" s="281"/>
      <c r="PS20" s="281"/>
      <c r="PT20" s="281"/>
      <c r="PU20" s="281"/>
      <c r="PV20" s="281"/>
      <c r="PW20" s="281"/>
      <c r="PX20" s="281"/>
      <c r="PY20" s="281"/>
      <c r="PZ20" s="281"/>
      <c r="QA20" s="281"/>
      <c r="QB20" s="281"/>
      <c r="QC20" s="281"/>
      <c r="QD20" s="281"/>
      <c r="QE20" s="281"/>
      <c r="QF20" s="281"/>
      <c r="QG20" s="281"/>
      <c r="QH20" s="281"/>
      <c r="QI20" s="281"/>
      <c r="QJ20" s="281"/>
      <c r="QK20" s="281"/>
      <c r="QL20" s="281"/>
      <c r="QM20" s="281"/>
      <c r="QN20" s="281"/>
      <c r="QO20" s="281"/>
      <c r="QP20" s="281"/>
      <c r="QQ20" s="281"/>
      <c r="QR20" s="281"/>
      <c r="QS20" s="281"/>
      <c r="QT20" s="281"/>
      <c r="QU20" s="281"/>
      <c r="QV20" s="281"/>
      <c r="QW20" s="281"/>
      <c r="QX20" s="281"/>
      <c r="QY20" s="281"/>
      <c r="QZ20" s="281"/>
      <c r="RA20" s="281"/>
      <c r="RB20" s="281"/>
      <c r="RC20" s="281"/>
      <c r="RD20" s="281"/>
      <c r="RE20" s="281"/>
      <c r="RF20" s="281"/>
      <c r="RG20" s="281"/>
      <c r="RH20" s="281"/>
      <c r="RI20" s="281"/>
      <c r="RJ20" s="281"/>
      <c r="RK20" s="281"/>
      <c r="RL20" s="281"/>
      <c r="RM20" s="281"/>
      <c r="RN20" s="281"/>
      <c r="RO20" s="281"/>
      <c r="RP20" s="281"/>
      <c r="RQ20" s="281"/>
      <c r="RR20" s="281"/>
      <c r="RS20" s="281"/>
      <c r="RT20" s="281"/>
      <c r="RU20" s="281"/>
      <c r="RV20" s="281"/>
      <c r="RW20" s="281"/>
      <c r="RX20" s="281"/>
      <c r="RY20" s="281"/>
      <c r="RZ20" s="281"/>
      <c r="SA20" s="281"/>
      <c r="SB20" s="281"/>
      <c r="SC20" s="281"/>
      <c r="SD20" s="281"/>
      <c r="SE20" s="281"/>
      <c r="SF20" s="281"/>
      <c r="SG20" s="281"/>
      <c r="SH20" s="281"/>
      <c r="SI20" s="281"/>
      <c r="SJ20" s="281"/>
      <c r="SK20" s="281"/>
      <c r="SL20" s="281"/>
      <c r="SM20" s="281"/>
      <c r="SN20" s="281"/>
      <c r="SO20" s="281"/>
      <c r="SP20" s="281"/>
      <c r="SQ20" s="281"/>
      <c r="SR20" s="281"/>
      <c r="SS20" s="281"/>
      <c r="ST20" s="281"/>
      <c r="SU20" s="281"/>
      <c r="SV20" s="281"/>
      <c r="SW20" s="281"/>
      <c r="SX20" s="281"/>
      <c r="SY20" s="281"/>
      <c r="SZ20" s="281"/>
      <c r="TA20" s="281"/>
      <c r="TB20" s="281"/>
      <c r="TC20" s="281"/>
      <c r="TD20" s="281"/>
      <c r="TE20" s="281"/>
      <c r="TF20" s="281"/>
      <c r="TG20" s="281"/>
      <c r="TH20" s="281"/>
      <c r="TI20" s="281"/>
      <c r="TJ20" s="281"/>
      <c r="TK20" s="281"/>
      <c r="TL20" s="281"/>
      <c r="TM20" s="281"/>
      <c r="TN20" s="281"/>
      <c r="TO20" s="281"/>
      <c r="TP20" s="281"/>
      <c r="TQ20" s="281"/>
      <c r="TR20" s="281"/>
      <c r="TS20" s="281"/>
      <c r="TT20" s="281"/>
      <c r="TU20" s="281"/>
      <c r="TV20" s="281"/>
      <c r="TW20" s="281"/>
      <c r="TX20" s="281"/>
      <c r="TY20" s="281"/>
      <c r="TZ20" s="281"/>
      <c r="UA20" s="281"/>
      <c r="UB20" s="281"/>
      <c r="UC20" s="281"/>
      <c r="UD20" s="281"/>
      <c r="UE20" s="281"/>
      <c r="UF20" s="281"/>
      <c r="UG20" s="281"/>
      <c r="UH20" s="281"/>
      <c r="UI20" s="281"/>
      <c r="UJ20" s="281"/>
      <c r="UK20" s="281"/>
      <c r="UL20" s="281"/>
      <c r="UM20" s="281"/>
      <c r="UN20" s="281"/>
      <c r="UO20" s="281"/>
      <c r="UP20" s="281"/>
      <c r="UQ20" s="281"/>
      <c r="UR20" s="281"/>
      <c r="US20" s="281"/>
      <c r="UT20" s="281"/>
      <c r="UU20" s="281"/>
      <c r="UV20" s="281"/>
      <c r="UW20" s="281"/>
      <c r="UX20" s="281"/>
      <c r="UY20" s="281"/>
      <c r="UZ20" s="281"/>
      <c r="VA20" s="281"/>
      <c r="VB20" s="281"/>
      <c r="VC20" s="281"/>
      <c r="VD20" s="281"/>
      <c r="VE20" s="281"/>
      <c r="VF20" s="281"/>
      <c r="VG20" s="281"/>
      <c r="VH20" s="281"/>
      <c r="VI20" s="281"/>
      <c r="VJ20" s="281"/>
      <c r="VK20" s="281"/>
      <c r="VL20" s="281"/>
      <c r="VM20" s="281"/>
      <c r="VN20" s="281"/>
      <c r="VO20" s="281"/>
      <c r="VP20" s="281"/>
      <c r="VQ20" s="281"/>
      <c r="VR20" s="281"/>
      <c r="VS20" s="281"/>
      <c r="VT20" s="281"/>
      <c r="VU20" s="281"/>
      <c r="VV20" s="281"/>
      <c r="VW20" s="281"/>
      <c r="VX20" s="281"/>
      <c r="VY20" s="281"/>
      <c r="VZ20" s="281"/>
      <c r="WA20" s="281"/>
      <c r="WB20" s="281"/>
      <c r="WC20" s="281"/>
      <c r="WD20" s="281"/>
      <c r="WE20" s="281"/>
      <c r="WF20" s="281"/>
      <c r="WG20" s="281"/>
      <c r="WH20" s="281"/>
      <c r="WI20" s="281"/>
      <c r="WJ20" s="281"/>
      <c r="WK20" s="281"/>
      <c r="WL20" s="281"/>
      <c r="WM20" s="281"/>
      <c r="WN20" s="281"/>
      <c r="WO20" s="281"/>
      <c r="WP20" s="281"/>
      <c r="WQ20" s="281"/>
      <c r="WR20" s="281"/>
      <c r="WS20" s="281"/>
      <c r="WT20" s="281"/>
      <c r="WU20" s="281"/>
      <c r="WV20" s="281"/>
      <c r="WW20" s="281"/>
      <c r="WX20" s="281"/>
      <c r="WY20" s="281"/>
      <c r="WZ20" s="281"/>
      <c r="XA20" s="281"/>
      <c r="XB20" s="281"/>
      <c r="XC20" s="281"/>
      <c r="XD20" s="281"/>
      <c r="XE20" s="281"/>
      <c r="XF20" s="281"/>
      <c r="XG20" s="281"/>
      <c r="XH20" s="281"/>
      <c r="XI20" s="281"/>
      <c r="XJ20" s="281"/>
      <c r="XK20" s="281"/>
      <c r="XL20" s="281"/>
      <c r="XM20" s="281"/>
      <c r="XN20" s="281"/>
      <c r="XO20" s="281"/>
      <c r="XP20" s="281"/>
      <c r="XQ20" s="281"/>
      <c r="XR20" s="281"/>
      <c r="XS20" s="281"/>
      <c r="XT20" s="281"/>
      <c r="XU20" s="281"/>
      <c r="XV20" s="281"/>
      <c r="XW20" s="281"/>
      <c r="XX20" s="281"/>
      <c r="XY20" s="281"/>
      <c r="XZ20" s="281"/>
      <c r="YA20" s="281"/>
      <c r="YB20" s="281"/>
      <c r="YC20" s="281"/>
      <c r="YD20" s="281"/>
      <c r="YE20" s="281"/>
      <c r="YF20" s="281"/>
      <c r="YG20" s="281"/>
      <c r="YH20" s="281"/>
      <c r="YI20" s="281"/>
      <c r="YJ20" s="281"/>
      <c r="YK20" s="281"/>
      <c r="YL20" s="281"/>
      <c r="YM20" s="281"/>
      <c r="YN20" s="281"/>
      <c r="YO20" s="281"/>
      <c r="YP20" s="281"/>
      <c r="YQ20" s="281"/>
      <c r="YR20" s="281"/>
      <c r="YS20" s="281"/>
      <c r="YT20" s="281"/>
      <c r="YU20" s="281"/>
      <c r="YV20" s="281"/>
      <c r="YW20" s="281"/>
      <c r="YX20" s="281"/>
      <c r="YY20" s="281"/>
      <c r="YZ20" s="281"/>
      <c r="ZA20" s="281"/>
      <c r="ZB20" s="281"/>
      <c r="ZC20" s="281"/>
      <c r="ZD20" s="281"/>
      <c r="ZE20" s="281"/>
      <c r="ZF20" s="281"/>
      <c r="ZG20" s="281"/>
      <c r="ZH20" s="281"/>
      <c r="ZI20" s="281"/>
      <c r="ZJ20" s="281"/>
      <c r="ZK20" s="281"/>
      <c r="ZL20" s="281"/>
      <c r="ZM20" s="281"/>
      <c r="ZN20" s="281"/>
      <c r="ZO20" s="281"/>
      <c r="ZP20" s="281"/>
      <c r="ZQ20" s="281"/>
      <c r="ZR20" s="281"/>
      <c r="ZS20" s="281"/>
      <c r="ZT20" s="281"/>
      <c r="ZU20" s="281"/>
      <c r="ZV20" s="281"/>
      <c r="ZW20" s="281"/>
      <c r="ZX20" s="281"/>
      <c r="ZY20" s="281"/>
      <c r="ZZ20" s="281"/>
      <c r="AAA20" s="281"/>
      <c r="AAB20" s="281"/>
      <c r="AAC20" s="281"/>
      <c r="AAD20" s="281"/>
      <c r="AAE20" s="281"/>
      <c r="AAF20" s="281"/>
      <c r="AAG20" s="281"/>
      <c r="AAH20" s="281"/>
      <c r="AAI20" s="281"/>
      <c r="AAJ20" s="281"/>
      <c r="AAK20" s="281"/>
      <c r="AAL20" s="281"/>
      <c r="AAM20" s="281"/>
      <c r="AAN20" s="281"/>
      <c r="AAO20" s="281"/>
      <c r="AAP20" s="281"/>
      <c r="AAQ20" s="281"/>
      <c r="AAR20" s="281"/>
      <c r="AAS20" s="281"/>
      <c r="AAT20" s="281"/>
      <c r="AAU20" s="281"/>
      <c r="AAV20" s="281"/>
      <c r="AAW20" s="281"/>
      <c r="AAX20" s="281"/>
      <c r="AAY20" s="281"/>
      <c r="AAZ20" s="281"/>
      <c r="ABA20" s="281"/>
      <c r="ABB20" s="281"/>
      <c r="ABC20" s="281"/>
      <c r="ABD20" s="281"/>
      <c r="ABE20" s="281"/>
      <c r="ABF20" s="281"/>
      <c r="ABG20" s="281"/>
      <c r="ABH20" s="281"/>
      <c r="ABI20" s="281"/>
      <c r="ABJ20" s="281"/>
      <c r="ABK20" s="281"/>
      <c r="ABL20" s="281"/>
      <c r="ABM20" s="281"/>
      <c r="ABN20" s="281"/>
      <c r="ABO20" s="281"/>
      <c r="ABP20" s="281"/>
      <c r="ABQ20" s="281"/>
      <c r="ABR20" s="281"/>
      <c r="ABS20" s="281"/>
      <c r="ABT20" s="281"/>
      <c r="ABU20" s="281"/>
      <c r="ABV20" s="281"/>
      <c r="ABW20" s="281"/>
      <c r="ABX20" s="281"/>
      <c r="ABY20" s="281"/>
      <c r="ABZ20" s="281"/>
      <c r="ACA20" s="281"/>
      <c r="ACB20" s="281"/>
      <c r="ACC20" s="281"/>
      <c r="ACD20" s="281"/>
      <c r="ACE20" s="281"/>
      <c r="ACF20" s="281"/>
      <c r="ACG20" s="281"/>
      <c r="ACH20" s="281"/>
      <c r="ACI20" s="281"/>
      <c r="ACJ20" s="281"/>
      <c r="ACK20" s="281"/>
      <c r="ACL20" s="281"/>
      <c r="ACM20" s="281"/>
      <c r="ACN20" s="281"/>
      <c r="ACO20" s="281"/>
      <c r="ACP20" s="281"/>
      <c r="ACQ20" s="281"/>
      <c r="ACR20" s="281"/>
      <c r="ACS20" s="281"/>
      <c r="ACT20" s="281"/>
      <c r="ACU20" s="281"/>
      <c r="ACV20" s="281"/>
      <c r="ACW20" s="281"/>
      <c r="ACX20" s="281"/>
      <c r="ACY20" s="281"/>
      <c r="ACZ20" s="281"/>
      <c r="ADA20" s="281"/>
      <c r="ADB20" s="281"/>
      <c r="ADC20" s="281"/>
      <c r="ADD20" s="281"/>
      <c r="ADE20" s="281"/>
      <c r="ADF20" s="281"/>
      <c r="ADG20" s="281"/>
      <c r="ADH20" s="281"/>
      <c r="ADI20" s="281"/>
      <c r="ADJ20" s="281"/>
      <c r="ADK20" s="281"/>
      <c r="ADL20" s="281"/>
      <c r="ADM20" s="281"/>
      <c r="ADN20" s="281"/>
      <c r="ADO20" s="281"/>
      <c r="ADP20" s="281"/>
      <c r="ADQ20" s="281"/>
      <c r="ADR20" s="281"/>
      <c r="ADS20" s="281"/>
      <c r="ADT20" s="281"/>
      <c r="ADU20" s="281"/>
      <c r="ADV20" s="281"/>
      <c r="ADW20" s="281"/>
      <c r="ADX20" s="281"/>
      <c r="ADY20" s="281"/>
      <c r="ADZ20" s="281"/>
      <c r="AEA20" s="281"/>
      <c r="AEB20" s="281"/>
      <c r="AEC20" s="281"/>
      <c r="AED20" s="281"/>
      <c r="AEE20" s="281"/>
      <c r="AEF20" s="281"/>
      <c r="AEG20" s="281"/>
      <c r="AEH20" s="281"/>
      <c r="AEI20" s="281"/>
      <c r="AEJ20" s="281"/>
      <c r="AEK20" s="281"/>
      <c r="AEL20" s="281"/>
      <c r="AEM20" s="281"/>
      <c r="AEN20" s="281"/>
      <c r="AEO20" s="281"/>
      <c r="AEP20" s="281"/>
      <c r="AEQ20" s="281"/>
      <c r="AER20" s="281"/>
      <c r="AES20" s="281"/>
      <c r="AET20" s="281"/>
      <c r="AEU20" s="281"/>
      <c r="AEV20" s="281"/>
      <c r="AEW20" s="281"/>
      <c r="AEX20" s="281"/>
      <c r="AEY20" s="281"/>
      <c r="AEZ20" s="281"/>
      <c r="AFA20" s="281"/>
      <c r="AFB20" s="281"/>
      <c r="AFC20" s="281"/>
      <c r="AFD20" s="281"/>
      <c r="AFE20" s="281"/>
      <c r="AFF20" s="281"/>
      <c r="AFG20" s="281"/>
      <c r="AFH20" s="281"/>
      <c r="AFI20" s="281"/>
      <c r="AFJ20" s="281"/>
      <c r="AFK20" s="281"/>
      <c r="AFL20" s="281"/>
      <c r="AFM20" s="281"/>
      <c r="AFN20" s="281"/>
      <c r="AFO20" s="281"/>
      <c r="AFP20" s="281"/>
      <c r="AFQ20" s="281"/>
      <c r="AFR20" s="281"/>
      <c r="AFS20" s="281"/>
      <c r="AFT20" s="281"/>
      <c r="AFU20" s="281"/>
      <c r="AFV20" s="281"/>
      <c r="AFW20" s="281"/>
      <c r="AFX20" s="281"/>
      <c r="AFY20" s="281"/>
      <c r="AFZ20" s="281"/>
      <c r="AGA20" s="281"/>
      <c r="AGB20" s="281"/>
      <c r="AGC20" s="281"/>
      <c r="AGD20" s="281"/>
      <c r="AGE20" s="281"/>
      <c r="AGF20" s="281"/>
      <c r="AGG20" s="281"/>
      <c r="AGH20" s="281"/>
      <c r="AGI20" s="281"/>
      <c r="AGJ20" s="281"/>
      <c r="AGK20" s="281"/>
      <c r="AGL20" s="281"/>
      <c r="AGM20" s="281"/>
      <c r="AGN20" s="281"/>
      <c r="AGO20" s="281"/>
      <c r="AGP20" s="281"/>
      <c r="AGQ20" s="281"/>
      <c r="AGR20" s="281"/>
      <c r="AGS20" s="281"/>
      <c r="AGT20" s="281"/>
      <c r="AGU20" s="281"/>
      <c r="AGV20" s="281"/>
      <c r="AGW20" s="281"/>
      <c r="AGX20" s="281"/>
      <c r="AGY20" s="281"/>
      <c r="AGZ20" s="281"/>
      <c r="AHA20" s="281"/>
      <c r="AHB20" s="281"/>
      <c r="AHC20" s="281"/>
      <c r="AHD20" s="281"/>
      <c r="AHE20" s="281"/>
      <c r="AHF20" s="281"/>
      <c r="AHG20" s="281"/>
      <c r="AHH20" s="281"/>
      <c r="AHI20" s="281"/>
      <c r="AHJ20" s="281"/>
      <c r="AHK20" s="281"/>
      <c r="AHL20" s="281"/>
      <c r="AHM20" s="281"/>
      <c r="AHN20" s="281"/>
      <c r="AHO20" s="281"/>
      <c r="AHP20" s="281"/>
      <c r="AHQ20" s="281"/>
      <c r="AHR20" s="281"/>
      <c r="AHS20" s="281"/>
      <c r="AHT20" s="281"/>
      <c r="AHU20" s="281"/>
      <c r="AHV20" s="281"/>
      <c r="AHW20" s="281"/>
      <c r="AHX20" s="281"/>
      <c r="AHY20" s="281"/>
      <c r="AHZ20" s="281"/>
      <c r="AIA20" s="281"/>
      <c r="AIB20" s="281"/>
      <c r="AIC20" s="281"/>
      <c r="AID20" s="281"/>
      <c r="AIE20" s="281"/>
      <c r="AIF20" s="281"/>
      <c r="AIG20" s="281"/>
      <c r="AIH20" s="281"/>
      <c r="AII20" s="281"/>
      <c r="AIJ20" s="281"/>
      <c r="AIK20" s="281"/>
      <c r="AIL20" s="281"/>
      <c r="AIM20" s="281"/>
      <c r="AIN20" s="281"/>
      <c r="AIO20" s="281"/>
      <c r="AIP20" s="281"/>
      <c r="AIQ20" s="281"/>
      <c r="AIR20" s="281"/>
      <c r="AIS20" s="281"/>
      <c r="AIT20" s="281"/>
      <c r="AIU20" s="281"/>
      <c r="AIV20" s="281"/>
      <c r="AIW20" s="281"/>
      <c r="AIX20" s="281"/>
      <c r="AIY20" s="281"/>
      <c r="AIZ20" s="281"/>
      <c r="AJA20" s="281"/>
      <c r="AJB20" s="281"/>
      <c r="AJC20" s="281"/>
      <c r="AJD20" s="281"/>
      <c r="AJE20" s="281"/>
      <c r="AJF20" s="281"/>
      <c r="AJG20" s="281"/>
      <c r="AJH20" s="281"/>
      <c r="AJI20" s="281"/>
      <c r="AJJ20" s="281"/>
      <c r="AJK20" s="281"/>
      <c r="AJL20" s="281"/>
      <c r="AJM20" s="281"/>
      <c r="AJN20" s="281"/>
      <c r="AJO20" s="281"/>
      <c r="AJP20" s="281"/>
      <c r="AJQ20" s="281"/>
      <c r="AJR20" s="281"/>
      <c r="AJS20" s="281"/>
      <c r="AJT20" s="281"/>
      <c r="AJU20" s="281"/>
      <c r="AJV20" s="281"/>
      <c r="AJW20" s="281"/>
      <c r="AJX20" s="281"/>
      <c r="AJY20" s="281"/>
      <c r="AJZ20" s="281"/>
      <c r="AKA20" s="281"/>
      <c r="AKB20" s="281"/>
      <c r="AKC20" s="281"/>
      <c r="AKD20" s="281"/>
      <c r="AKE20" s="281"/>
      <c r="AKF20" s="281"/>
      <c r="AKG20" s="281"/>
      <c r="AKH20" s="281"/>
      <c r="AKI20" s="281"/>
      <c r="AKJ20" s="281"/>
      <c r="AKK20" s="281"/>
      <c r="AKL20" s="281"/>
      <c r="AKM20" s="281"/>
      <c r="AKN20" s="281"/>
      <c r="AKO20" s="281"/>
      <c r="AKP20" s="281"/>
      <c r="AKQ20" s="281"/>
      <c r="AKR20" s="281"/>
      <c r="AKS20" s="281"/>
      <c r="AKT20" s="281"/>
      <c r="AKU20" s="281"/>
      <c r="AKV20" s="281"/>
      <c r="AKW20" s="281"/>
      <c r="AKX20" s="281"/>
      <c r="AKY20" s="281"/>
      <c r="AKZ20" s="281"/>
      <c r="ALA20" s="281"/>
      <c r="ALB20" s="281"/>
      <c r="ALC20" s="281"/>
      <c r="ALD20" s="281"/>
      <c r="ALE20" s="281"/>
      <c r="ALF20" s="281"/>
      <c r="ALG20" s="281"/>
      <c r="ALH20" s="281"/>
      <c r="ALI20" s="281"/>
      <c r="ALJ20" s="281"/>
      <c r="ALK20" s="281"/>
      <c r="ALL20" s="281"/>
      <c r="ALM20" s="281"/>
      <c r="ALN20" s="281"/>
      <c r="ALO20" s="281"/>
      <c r="ALP20" s="281"/>
      <c r="ALQ20" s="281"/>
      <c r="ALR20" s="281"/>
      <c r="ALS20" s="281"/>
      <c r="ALT20" s="281"/>
      <c r="ALU20" s="281"/>
      <c r="ALV20" s="281"/>
      <c r="ALW20" s="281"/>
      <c r="ALX20" s="281"/>
      <c r="ALY20" s="281"/>
      <c r="ALZ20" s="281"/>
      <c r="AMA20" s="281"/>
      <c r="AMB20" s="281"/>
      <c r="AMC20" s="281"/>
      <c r="AMD20" s="281"/>
      <c r="AME20" s="281"/>
      <c r="AMF20" s="281"/>
      <c r="AMG20" s="281"/>
      <c r="AMH20" s="281"/>
      <c r="AMI20" s="281"/>
      <c r="AMJ20" s="281"/>
      <c r="AMK20" s="281"/>
    </row>
    <row r="21" s="225" customFormat="1" ht="49" customHeight="1" spans="1:1025">
      <c r="A21" s="243" t="s">
        <v>201</v>
      </c>
      <c r="B21" s="244" t="s">
        <v>202</v>
      </c>
      <c r="C21" s="256" t="s">
        <v>203</v>
      </c>
      <c r="D21" s="252" t="s">
        <v>56</v>
      </c>
      <c r="E21" s="253">
        <f>'MEMÓRIA DE CÁLCULO'!E209</f>
        <v>450</v>
      </c>
      <c r="F21" s="259">
        <v>28.02</v>
      </c>
      <c r="G21" s="250">
        <f t="shared" si="0"/>
        <v>36.09</v>
      </c>
      <c r="H21" s="250">
        <f t="shared" si="2"/>
        <v>16240.5</v>
      </c>
      <c r="I21" s="280">
        <f t="shared" si="1"/>
        <v>0.0318328481946244</v>
      </c>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c r="IQ21" s="281"/>
      <c r="IR21" s="281"/>
      <c r="IS21" s="281"/>
      <c r="IT21" s="281"/>
      <c r="IU21" s="281"/>
      <c r="IV21" s="281"/>
      <c r="IW21" s="281"/>
      <c r="IX21" s="281"/>
      <c r="IY21" s="281"/>
      <c r="IZ21" s="281"/>
      <c r="JA21" s="281"/>
      <c r="JB21" s="281"/>
      <c r="JC21" s="281"/>
      <c r="JD21" s="281"/>
      <c r="JE21" s="281"/>
      <c r="JF21" s="281"/>
      <c r="JG21" s="281"/>
      <c r="JH21" s="281"/>
      <c r="JI21" s="281"/>
      <c r="JJ21" s="281"/>
      <c r="JK21" s="281"/>
      <c r="JL21" s="281"/>
      <c r="JM21" s="281"/>
      <c r="JN21" s="281"/>
      <c r="JO21" s="281"/>
      <c r="JP21" s="281"/>
      <c r="JQ21" s="281"/>
      <c r="JR21" s="281"/>
      <c r="JS21" s="281"/>
      <c r="JT21" s="281"/>
      <c r="JU21" s="281"/>
      <c r="JV21" s="281"/>
      <c r="JW21" s="281"/>
      <c r="JX21" s="281"/>
      <c r="JY21" s="281"/>
      <c r="JZ21" s="281"/>
      <c r="KA21" s="281"/>
      <c r="KB21" s="281"/>
      <c r="KC21" s="281"/>
      <c r="KD21" s="281"/>
      <c r="KE21" s="281"/>
      <c r="KF21" s="281"/>
      <c r="KG21" s="281"/>
      <c r="KH21" s="281"/>
      <c r="KI21" s="281"/>
      <c r="KJ21" s="281"/>
      <c r="KK21" s="281"/>
      <c r="KL21" s="281"/>
      <c r="KM21" s="281"/>
      <c r="KN21" s="281"/>
      <c r="KO21" s="281"/>
      <c r="KP21" s="281"/>
      <c r="KQ21" s="281"/>
      <c r="KR21" s="281"/>
      <c r="KS21" s="281"/>
      <c r="KT21" s="281"/>
      <c r="KU21" s="281"/>
      <c r="KV21" s="281"/>
      <c r="KW21" s="281"/>
      <c r="KX21" s="281"/>
      <c r="KY21" s="281"/>
      <c r="KZ21" s="281"/>
      <c r="LA21" s="281"/>
      <c r="LB21" s="281"/>
      <c r="LC21" s="281"/>
      <c r="LD21" s="281"/>
      <c r="LE21" s="281"/>
      <c r="LF21" s="281"/>
      <c r="LG21" s="281"/>
      <c r="LH21" s="281"/>
      <c r="LI21" s="281"/>
      <c r="LJ21" s="281"/>
      <c r="LK21" s="281"/>
      <c r="LL21" s="281"/>
      <c r="LM21" s="281"/>
      <c r="LN21" s="281"/>
      <c r="LO21" s="281"/>
      <c r="LP21" s="281"/>
      <c r="LQ21" s="281"/>
      <c r="LR21" s="281"/>
      <c r="LS21" s="281"/>
      <c r="LT21" s="281"/>
      <c r="LU21" s="281"/>
      <c r="LV21" s="281"/>
      <c r="LW21" s="281"/>
      <c r="LX21" s="281"/>
      <c r="LY21" s="281"/>
      <c r="LZ21" s="281"/>
      <c r="MA21" s="281"/>
      <c r="MB21" s="281"/>
      <c r="MC21" s="281"/>
      <c r="MD21" s="281"/>
      <c r="ME21" s="281"/>
      <c r="MF21" s="281"/>
      <c r="MG21" s="281"/>
      <c r="MH21" s="281"/>
      <c r="MI21" s="281"/>
      <c r="MJ21" s="281"/>
      <c r="MK21" s="281"/>
      <c r="ML21" s="281"/>
      <c r="MM21" s="281"/>
      <c r="MN21" s="281"/>
      <c r="MO21" s="281"/>
      <c r="MP21" s="281"/>
      <c r="MQ21" s="281"/>
      <c r="MR21" s="281"/>
      <c r="MS21" s="281"/>
      <c r="MT21" s="281"/>
      <c r="MU21" s="281"/>
      <c r="MV21" s="281"/>
      <c r="MW21" s="281"/>
      <c r="MX21" s="281"/>
      <c r="MY21" s="281"/>
      <c r="MZ21" s="281"/>
      <c r="NA21" s="281"/>
      <c r="NB21" s="281"/>
      <c r="NC21" s="281"/>
      <c r="ND21" s="281"/>
      <c r="NE21" s="281"/>
      <c r="NF21" s="281"/>
      <c r="NG21" s="281"/>
      <c r="NH21" s="281"/>
      <c r="NI21" s="281"/>
      <c r="NJ21" s="281"/>
      <c r="NK21" s="281"/>
      <c r="NL21" s="281"/>
      <c r="NM21" s="281"/>
      <c r="NN21" s="281"/>
      <c r="NO21" s="281"/>
      <c r="NP21" s="281"/>
      <c r="NQ21" s="281"/>
      <c r="NR21" s="281"/>
      <c r="NS21" s="281"/>
      <c r="NT21" s="281"/>
      <c r="NU21" s="281"/>
      <c r="NV21" s="281"/>
      <c r="NW21" s="281"/>
      <c r="NX21" s="281"/>
      <c r="NY21" s="281"/>
      <c r="NZ21" s="281"/>
      <c r="OA21" s="281"/>
      <c r="OB21" s="281"/>
      <c r="OC21" s="281"/>
      <c r="OD21" s="281"/>
      <c r="OE21" s="281"/>
      <c r="OF21" s="281"/>
      <c r="OG21" s="281"/>
      <c r="OH21" s="281"/>
      <c r="OI21" s="281"/>
      <c r="OJ21" s="281"/>
      <c r="OK21" s="281"/>
      <c r="OL21" s="281"/>
      <c r="OM21" s="281"/>
      <c r="ON21" s="281"/>
      <c r="OO21" s="281"/>
      <c r="OP21" s="281"/>
      <c r="OQ21" s="281"/>
      <c r="OR21" s="281"/>
      <c r="OS21" s="281"/>
      <c r="OT21" s="281"/>
      <c r="OU21" s="281"/>
      <c r="OV21" s="281"/>
      <c r="OW21" s="281"/>
      <c r="OX21" s="281"/>
      <c r="OY21" s="281"/>
      <c r="OZ21" s="281"/>
      <c r="PA21" s="281"/>
      <c r="PB21" s="281"/>
      <c r="PC21" s="281"/>
      <c r="PD21" s="281"/>
      <c r="PE21" s="281"/>
      <c r="PF21" s="281"/>
      <c r="PG21" s="281"/>
      <c r="PH21" s="281"/>
      <c r="PI21" s="281"/>
      <c r="PJ21" s="281"/>
      <c r="PK21" s="281"/>
      <c r="PL21" s="281"/>
      <c r="PM21" s="281"/>
      <c r="PN21" s="281"/>
      <c r="PO21" s="281"/>
      <c r="PP21" s="281"/>
      <c r="PQ21" s="281"/>
      <c r="PR21" s="281"/>
      <c r="PS21" s="281"/>
      <c r="PT21" s="281"/>
      <c r="PU21" s="281"/>
      <c r="PV21" s="281"/>
      <c r="PW21" s="281"/>
      <c r="PX21" s="281"/>
      <c r="PY21" s="281"/>
      <c r="PZ21" s="281"/>
      <c r="QA21" s="281"/>
      <c r="QB21" s="281"/>
      <c r="QC21" s="281"/>
      <c r="QD21" s="281"/>
      <c r="QE21" s="281"/>
      <c r="QF21" s="281"/>
      <c r="QG21" s="281"/>
      <c r="QH21" s="281"/>
      <c r="QI21" s="281"/>
      <c r="QJ21" s="281"/>
      <c r="QK21" s="281"/>
      <c r="QL21" s="281"/>
      <c r="QM21" s="281"/>
      <c r="QN21" s="281"/>
      <c r="QO21" s="281"/>
      <c r="QP21" s="281"/>
      <c r="QQ21" s="281"/>
      <c r="QR21" s="281"/>
      <c r="QS21" s="281"/>
      <c r="QT21" s="281"/>
      <c r="QU21" s="281"/>
      <c r="QV21" s="281"/>
      <c r="QW21" s="281"/>
      <c r="QX21" s="281"/>
      <c r="QY21" s="281"/>
      <c r="QZ21" s="281"/>
      <c r="RA21" s="281"/>
      <c r="RB21" s="281"/>
      <c r="RC21" s="281"/>
      <c r="RD21" s="281"/>
      <c r="RE21" s="281"/>
      <c r="RF21" s="281"/>
      <c r="RG21" s="281"/>
      <c r="RH21" s="281"/>
      <c r="RI21" s="281"/>
      <c r="RJ21" s="281"/>
      <c r="RK21" s="281"/>
      <c r="RL21" s="281"/>
      <c r="RM21" s="281"/>
      <c r="RN21" s="281"/>
      <c r="RO21" s="281"/>
      <c r="RP21" s="281"/>
      <c r="RQ21" s="281"/>
      <c r="RR21" s="281"/>
      <c r="RS21" s="281"/>
      <c r="RT21" s="281"/>
      <c r="RU21" s="281"/>
      <c r="RV21" s="281"/>
      <c r="RW21" s="281"/>
      <c r="RX21" s="281"/>
      <c r="RY21" s="281"/>
      <c r="RZ21" s="281"/>
      <c r="SA21" s="281"/>
      <c r="SB21" s="281"/>
      <c r="SC21" s="281"/>
      <c r="SD21" s="281"/>
      <c r="SE21" s="281"/>
      <c r="SF21" s="281"/>
      <c r="SG21" s="281"/>
      <c r="SH21" s="281"/>
      <c r="SI21" s="281"/>
      <c r="SJ21" s="281"/>
      <c r="SK21" s="281"/>
      <c r="SL21" s="281"/>
      <c r="SM21" s="281"/>
      <c r="SN21" s="281"/>
      <c r="SO21" s="281"/>
      <c r="SP21" s="281"/>
      <c r="SQ21" s="281"/>
      <c r="SR21" s="281"/>
      <c r="SS21" s="281"/>
      <c r="ST21" s="281"/>
      <c r="SU21" s="281"/>
      <c r="SV21" s="281"/>
      <c r="SW21" s="281"/>
      <c r="SX21" s="281"/>
      <c r="SY21" s="281"/>
      <c r="SZ21" s="281"/>
      <c r="TA21" s="281"/>
      <c r="TB21" s="281"/>
      <c r="TC21" s="281"/>
      <c r="TD21" s="281"/>
      <c r="TE21" s="281"/>
      <c r="TF21" s="281"/>
      <c r="TG21" s="281"/>
      <c r="TH21" s="281"/>
      <c r="TI21" s="281"/>
      <c r="TJ21" s="281"/>
      <c r="TK21" s="281"/>
      <c r="TL21" s="281"/>
      <c r="TM21" s="281"/>
      <c r="TN21" s="281"/>
      <c r="TO21" s="281"/>
      <c r="TP21" s="281"/>
      <c r="TQ21" s="281"/>
      <c r="TR21" s="281"/>
      <c r="TS21" s="281"/>
      <c r="TT21" s="281"/>
      <c r="TU21" s="281"/>
      <c r="TV21" s="281"/>
      <c r="TW21" s="281"/>
      <c r="TX21" s="281"/>
      <c r="TY21" s="281"/>
      <c r="TZ21" s="281"/>
      <c r="UA21" s="281"/>
      <c r="UB21" s="281"/>
      <c r="UC21" s="281"/>
      <c r="UD21" s="281"/>
      <c r="UE21" s="281"/>
      <c r="UF21" s="281"/>
      <c r="UG21" s="281"/>
      <c r="UH21" s="281"/>
      <c r="UI21" s="281"/>
      <c r="UJ21" s="281"/>
      <c r="UK21" s="281"/>
      <c r="UL21" s="281"/>
      <c r="UM21" s="281"/>
      <c r="UN21" s="281"/>
      <c r="UO21" s="281"/>
      <c r="UP21" s="281"/>
      <c r="UQ21" s="281"/>
      <c r="UR21" s="281"/>
      <c r="US21" s="281"/>
      <c r="UT21" s="281"/>
      <c r="UU21" s="281"/>
      <c r="UV21" s="281"/>
      <c r="UW21" s="281"/>
      <c r="UX21" s="281"/>
      <c r="UY21" s="281"/>
      <c r="UZ21" s="281"/>
      <c r="VA21" s="281"/>
      <c r="VB21" s="281"/>
      <c r="VC21" s="281"/>
      <c r="VD21" s="281"/>
      <c r="VE21" s="281"/>
      <c r="VF21" s="281"/>
      <c r="VG21" s="281"/>
      <c r="VH21" s="281"/>
      <c r="VI21" s="281"/>
      <c r="VJ21" s="281"/>
      <c r="VK21" s="281"/>
      <c r="VL21" s="281"/>
      <c r="VM21" s="281"/>
      <c r="VN21" s="281"/>
      <c r="VO21" s="281"/>
      <c r="VP21" s="281"/>
      <c r="VQ21" s="281"/>
      <c r="VR21" s="281"/>
      <c r="VS21" s="281"/>
      <c r="VT21" s="281"/>
      <c r="VU21" s="281"/>
      <c r="VV21" s="281"/>
      <c r="VW21" s="281"/>
      <c r="VX21" s="281"/>
      <c r="VY21" s="281"/>
      <c r="VZ21" s="281"/>
      <c r="WA21" s="281"/>
      <c r="WB21" s="281"/>
      <c r="WC21" s="281"/>
      <c r="WD21" s="281"/>
      <c r="WE21" s="281"/>
      <c r="WF21" s="281"/>
      <c r="WG21" s="281"/>
      <c r="WH21" s="281"/>
      <c r="WI21" s="281"/>
      <c r="WJ21" s="281"/>
      <c r="WK21" s="281"/>
      <c r="WL21" s="281"/>
      <c r="WM21" s="281"/>
      <c r="WN21" s="281"/>
      <c r="WO21" s="281"/>
      <c r="WP21" s="281"/>
      <c r="WQ21" s="281"/>
      <c r="WR21" s="281"/>
      <c r="WS21" s="281"/>
      <c r="WT21" s="281"/>
      <c r="WU21" s="281"/>
      <c r="WV21" s="281"/>
      <c r="WW21" s="281"/>
      <c r="WX21" s="281"/>
      <c r="WY21" s="281"/>
      <c r="WZ21" s="281"/>
      <c r="XA21" s="281"/>
      <c r="XB21" s="281"/>
      <c r="XC21" s="281"/>
      <c r="XD21" s="281"/>
      <c r="XE21" s="281"/>
      <c r="XF21" s="281"/>
      <c r="XG21" s="281"/>
      <c r="XH21" s="281"/>
      <c r="XI21" s="281"/>
      <c r="XJ21" s="281"/>
      <c r="XK21" s="281"/>
      <c r="XL21" s="281"/>
      <c r="XM21" s="281"/>
      <c r="XN21" s="281"/>
      <c r="XO21" s="281"/>
      <c r="XP21" s="281"/>
      <c r="XQ21" s="281"/>
      <c r="XR21" s="281"/>
      <c r="XS21" s="281"/>
      <c r="XT21" s="281"/>
      <c r="XU21" s="281"/>
      <c r="XV21" s="281"/>
      <c r="XW21" s="281"/>
      <c r="XX21" s="281"/>
      <c r="XY21" s="281"/>
      <c r="XZ21" s="281"/>
      <c r="YA21" s="281"/>
      <c r="YB21" s="281"/>
      <c r="YC21" s="281"/>
      <c r="YD21" s="281"/>
      <c r="YE21" s="281"/>
      <c r="YF21" s="281"/>
      <c r="YG21" s="281"/>
      <c r="YH21" s="281"/>
      <c r="YI21" s="281"/>
      <c r="YJ21" s="281"/>
      <c r="YK21" s="281"/>
      <c r="YL21" s="281"/>
      <c r="YM21" s="281"/>
      <c r="YN21" s="281"/>
      <c r="YO21" s="281"/>
      <c r="YP21" s="281"/>
      <c r="YQ21" s="281"/>
      <c r="YR21" s="281"/>
      <c r="YS21" s="281"/>
      <c r="YT21" s="281"/>
      <c r="YU21" s="281"/>
      <c r="YV21" s="281"/>
      <c r="YW21" s="281"/>
      <c r="YX21" s="281"/>
      <c r="YY21" s="281"/>
      <c r="YZ21" s="281"/>
      <c r="ZA21" s="281"/>
      <c r="ZB21" s="281"/>
      <c r="ZC21" s="281"/>
      <c r="ZD21" s="281"/>
      <c r="ZE21" s="281"/>
      <c r="ZF21" s="281"/>
      <c r="ZG21" s="281"/>
      <c r="ZH21" s="281"/>
      <c r="ZI21" s="281"/>
      <c r="ZJ21" s="281"/>
      <c r="ZK21" s="281"/>
      <c r="ZL21" s="281"/>
      <c r="ZM21" s="281"/>
      <c r="ZN21" s="281"/>
      <c r="ZO21" s="281"/>
      <c r="ZP21" s="281"/>
      <c r="ZQ21" s="281"/>
      <c r="ZR21" s="281"/>
      <c r="ZS21" s="281"/>
      <c r="ZT21" s="281"/>
      <c r="ZU21" s="281"/>
      <c r="ZV21" s="281"/>
      <c r="ZW21" s="281"/>
      <c r="ZX21" s="281"/>
      <c r="ZY21" s="281"/>
      <c r="ZZ21" s="281"/>
      <c r="AAA21" s="281"/>
      <c r="AAB21" s="281"/>
      <c r="AAC21" s="281"/>
      <c r="AAD21" s="281"/>
      <c r="AAE21" s="281"/>
      <c r="AAF21" s="281"/>
      <c r="AAG21" s="281"/>
      <c r="AAH21" s="281"/>
      <c r="AAI21" s="281"/>
      <c r="AAJ21" s="281"/>
      <c r="AAK21" s="281"/>
      <c r="AAL21" s="281"/>
      <c r="AAM21" s="281"/>
      <c r="AAN21" s="281"/>
      <c r="AAO21" s="281"/>
      <c r="AAP21" s="281"/>
      <c r="AAQ21" s="281"/>
      <c r="AAR21" s="281"/>
      <c r="AAS21" s="281"/>
      <c r="AAT21" s="281"/>
      <c r="AAU21" s="281"/>
      <c r="AAV21" s="281"/>
      <c r="AAW21" s="281"/>
      <c r="AAX21" s="281"/>
      <c r="AAY21" s="281"/>
      <c r="AAZ21" s="281"/>
      <c r="ABA21" s="281"/>
      <c r="ABB21" s="281"/>
      <c r="ABC21" s="281"/>
      <c r="ABD21" s="281"/>
      <c r="ABE21" s="281"/>
      <c r="ABF21" s="281"/>
      <c r="ABG21" s="281"/>
      <c r="ABH21" s="281"/>
      <c r="ABI21" s="281"/>
      <c r="ABJ21" s="281"/>
      <c r="ABK21" s="281"/>
      <c r="ABL21" s="281"/>
      <c r="ABM21" s="281"/>
      <c r="ABN21" s="281"/>
      <c r="ABO21" s="281"/>
      <c r="ABP21" s="281"/>
      <c r="ABQ21" s="281"/>
      <c r="ABR21" s="281"/>
      <c r="ABS21" s="281"/>
      <c r="ABT21" s="281"/>
      <c r="ABU21" s="281"/>
      <c r="ABV21" s="281"/>
      <c r="ABW21" s="281"/>
      <c r="ABX21" s="281"/>
      <c r="ABY21" s="281"/>
      <c r="ABZ21" s="281"/>
      <c r="ACA21" s="281"/>
      <c r="ACB21" s="281"/>
      <c r="ACC21" s="281"/>
      <c r="ACD21" s="281"/>
      <c r="ACE21" s="281"/>
      <c r="ACF21" s="281"/>
      <c r="ACG21" s="281"/>
      <c r="ACH21" s="281"/>
      <c r="ACI21" s="281"/>
      <c r="ACJ21" s="281"/>
      <c r="ACK21" s="281"/>
      <c r="ACL21" s="281"/>
      <c r="ACM21" s="281"/>
      <c r="ACN21" s="281"/>
      <c r="ACO21" s="281"/>
      <c r="ACP21" s="281"/>
      <c r="ACQ21" s="281"/>
      <c r="ACR21" s="281"/>
      <c r="ACS21" s="281"/>
      <c r="ACT21" s="281"/>
      <c r="ACU21" s="281"/>
      <c r="ACV21" s="281"/>
      <c r="ACW21" s="281"/>
      <c r="ACX21" s="281"/>
      <c r="ACY21" s="281"/>
      <c r="ACZ21" s="281"/>
      <c r="ADA21" s="281"/>
      <c r="ADB21" s="281"/>
      <c r="ADC21" s="281"/>
      <c r="ADD21" s="281"/>
      <c r="ADE21" s="281"/>
      <c r="ADF21" s="281"/>
      <c r="ADG21" s="281"/>
      <c r="ADH21" s="281"/>
      <c r="ADI21" s="281"/>
      <c r="ADJ21" s="281"/>
      <c r="ADK21" s="281"/>
      <c r="ADL21" s="281"/>
      <c r="ADM21" s="281"/>
      <c r="ADN21" s="281"/>
      <c r="ADO21" s="281"/>
      <c r="ADP21" s="281"/>
      <c r="ADQ21" s="281"/>
      <c r="ADR21" s="281"/>
      <c r="ADS21" s="281"/>
      <c r="ADT21" s="281"/>
      <c r="ADU21" s="281"/>
      <c r="ADV21" s="281"/>
      <c r="ADW21" s="281"/>
      <c r="ADX21" s="281"/>
      <c r="ADY21" s="281"/>
      <c r="ADZ21" s="281"/>
      <c r="AEA21" s="281"/>
      <c r="AEB21" s="281"/>
      <c r="AEC21" s="281"/>
      <c r="AED21" s="281"/>
      <c r="AEE21" s="281"/>
      <c r="AEF21" s="281"/>
      <c r="AEG21" s="281"/>
      <c r="AEH21" s="281"/>
      <c r="AEI21" s="281"/>
      <c r="AEJ21" s="281"/>
      <c r="AEK21" s="281"/>
      <c r="AEL21" s="281"/>
      <c r="AEM21" s="281"/>
      <c r="AEN21" s="281"/>
      <c r="AEO21" s="281"/>
      <c r="AEP21" s="281"/>
      <c r="AEQ21" s="281"/>
      <c r="AER21" s="281"/>
      <c r="AES21" s="281"/>
      <c r="AET21" s="281"/>
      <c r="AEU21" s="281"/>
      <c r="AEV21" s="281"/>
      <c r="AEW21" s="281"/>
      <c r="AEX21" s="281"/>
      <c r="AEY21" s="281"/>
      <c r="AEZ21" s="281"/>
      <c r="AFA21" s="281"/>
      <c r="AFB21" s="281"/>
      <c r="AFC21" s="281"/>
      <c r="AFD21" s="281"/>
      <c r="AFE21" s="281"/>
      <c r="AFF21" s="281"/>
      <c r="AFG21" s="281"/>
      <c r="AFH21" s="281"/>
      <c r="AFI21" s="281"/>
      <c r="AFJ21" s="281"/>
      <c r="AFK21" s="281"/>
      <c r="AFL21" s="281"/>
      <c r="AFM21" s="281"/>
      <c r="AFN21" s="281"/>
      <c r="AFO21" s="281"/>
      <c r="AFP21" s="281"/>
      <c r="AFQ21" s="281"/>
      <c r="AFR21" s="281"/>
      <c r="AFS21" s="281"/>
      <c r="AFT21" s="281"/>
      <c r="AFU21" s="281"/>
      <c r="AFV21" s="281"/>
      <c r="AFW21" s="281"/>
      <c r="AFX21" s="281"/>
      <c r="AFY21" s="281"/>
      <c r="AFZ21" s="281"/>
      <c r="AGA21" s="281"/>
      <c r="AGB21" s="281"/>
      <c r="AGC21" s="281"/>
      <c r="AGD21" s="281"/>
      <c r="AGE21" s="281"/>
      <c r="AGF21" s="281"/>
      <c r="AGG21" s="281"/>
      <c r="AGH21" s="281"/>
      <c r="AGI21" s="281"/>
      <c r="AGJ21" s="281"/>
      <c r="AGK21" s="281"/>
      <c r="AGL21" s="281"/>
      <c r="AGM21" s="281"/>
      <c r="AGN21" s="281"/>
      <c r="AGO21" s="281"/>
      <c r="AGP21" s="281"/>
      <c r="AGQ21" s="281"/>
      <c r="AGR21" s="281"/>
      <c r="AGS21" s="281"/>
      <c r="AGT21" s="281"/>
      <c r="AGU21" s="281"/>
      <c r="AGV21" s="281"/>
      <c r="AGW21" s="281"/>
      <c r="AGX21" s="281"/>
      <c r="AGY21" s="281"/>
      <c r="AGZ21" s="281"/>
      <c r="AHA21" s="281"/>
      <c r="AHB21" s="281"/>
      <c r="AHC21" s="281"/>
      <c r="AHD21" s="281"/>
      <c r="AHE21" s="281"/>
      <c r="AHF21" s="281"/>
      <c r="AHG21" s="281"/>
      <c r="AHH21" s="281"/>
      <c r="AHI21" s="281"/>
      <c r="AHJ21" s="281"/>
      <c r="AHK21" s="281"/>
      <c r="AHL21" s="281"/>
      <c r="AHM21" s="281"/>
      <c r="AHN21" s="281"/>
      <c r="AHO21" s="281"/>
      <c r="AHP21" s="281"/>
      <c r="AHQ21" s="281"/>
      <c r="AHR21" s="281"/>
      <c r="AHS21" s="281"/>
      <c r="AHT21" s="281"/>
      <c r="AHU21" s="281"/>
      <c r="AHV21" s="281"/>
      <c r="AHW21" s="281"/>
      <c r="AHX21" s="281"/>
      <c r="AHY21" s="281"/>
      <c r="AHZ21" s="281"/>
      <c r="AIA21" s="281"/>
      <c r="AIB21" s="281"/>
      <c r="AIC21" s="281"/>
      <c r="AID21" s="281"/>
      <c r="AIE21" s="281"/>
      <c r="AIF21" s="281"/>
      <c r="AIG21" s="281"/>
      <c r="AIH21" s="281"/>
      <c r="AII21" s="281"/>
      <c r="AIJ21" s="281"/>
      <c r="AIK21" s="281"/>
      <c r="AIL21" s="281"/>
      <c r="AIM21" s="281"/>
      <c r="AIN21" s="281"/>
      <c r="AIO21" s="281"/>
      <c r="AIP21" s="281"/>
      <c r="AIQ21" s="281"/>
      <c r="AIR21" s="281"/>
      <c r="AIS21" s="281"/>
      <c r="AIT21" s="281"/>
      <c r="AIU21" s="281"/>
      <c r="AIV21" s="281"/>
      <c r="AIW21" s="281"/>
      <c r="AIX21" s="281"/>
      <c r="AIY21" s="281"/>
      <c r="AIZ21" s="281"/>
      <c r="AJA21" s="281"/>
      <c r="AJB21" s="281"/>
      <c r="AJC21" s="281"/>
      <c r="AJD21" s="281"/>
      <c r="AJE21" s="281"/>
      <c r="AJF21" s="281"/>
      <c r="AJG21" s="281"/>
      <c r="AJH21" s="281"/>
      <c r="AJI21" s="281"/>
      <c r="AJJ21" s="281"/>
      <c r="AJK21" s="281"/>
      <c r="AJL21" s="281"/>
      <c r="AJM21" s="281"/>
      <c r="AJN21" s="281"/>
      <c r="AJO21" s="281"/>
      <c r="AJP21" s="281"/>
      <c r="AJQ21" s="281"/>
      <c r="AJR21" s="281"/>
      <c r="AJS21" s="281"/>
      <c r="AJT21" s="281"/>
      <c r="AJU21" s="281"/>
      <c r="AJV21" s="281"/>
      <c r="AJW21" s="281"/>
      <c r="AJX21" s="281"/>
      <c r="AJY21" s="281"/>
      <c r="AJZ21" s="281"/>
      <c r="AKA21" s="281"/>
      <c r="AKB21" s="281"/>
      <c r="AKC21" s="281"/>
      <c r="AKD21" s="281"/>
      <c r="AKE21" s="281"/>
      <c r="AKF21" s="281"/>
      <c r="AKG21" s="281"/>
      <c r="AKH21" s="281"/>
      <c r="AKI21" s="281"/>
      <c r="AKJ21" s="281"/>
      <c r="AKK21" s="281"/>
      <c r="AKL21" s="281"/>
      <c r="AKM21" s="281"/>
      <c r="AKN21" s="281"/>
      <c r="AKO21" s="281"/>
      <c r="AKP21" s="281"/>
      <c r="AKQ21" s="281"/>
      <c r="AKR21" s="281"/>
      <c r="AKS21" s="281"/>
      <c r="AKT21" s="281"/>
      <c r="AKU21" s="281"/>
      <c r="AKV21" s="281"/>
      <c r="AKW21" s="281"/>
      <c r="AKX21" s="281"/>
      <c r="AKY21" s="281"/>
      <c r="AKZ21" s="281"/>
      <c r="ALA21" s="281"/>
      <c r="ALB21" s="281"/>
      <c r="ALC21" s="281"/>
      <c r="ALD21" s="281"/>
      <c r="ALE21" s="281"/>
      <c r="ALF21" s="281"/>
      <c r="ALG21" s="281"/>
      <c r="ALH21" s="281"/>
      <c r="ALI21" s="281"/>
      <c r="ALJ21" s="281"/>
      <c r="ALK21" s="281"/>
      <c r="ALL21" s="281"/>
      <c r="ALM21" s="281"/>
      <c r="ALN21" s="281"/>
      <c r="ALO21" s="281"/>
      <c r="ALP21" s="281"/>
      <c r="ALQ21" s="281"/>
      <c r="ALR21" s="281"/>
      <c r="ALS21" s="281"/>
      <c r="ALT21" s="281"/>
      <c r="ALU21" s="281"/>
      <c r="ALV21" s="281"/>
      <c r="ALW21" s="281"/>
      <c r="ALX21" s="281"/>
      <c r="ALY21" s="281"/>
      <c r="ALZ21" s="281"/>
      <c r="AMA21" s="281"/>
      <c r="AMB21" s="281"/>
      <c r="AMC21" s="281"/>
      <c r="AMD21" s="281"/>
      <c r="AME21" s="281"/>
      <c r="AMF21" s="281"/>
      <c r="AMG21" s="281"/>
      <c r="AMH21" s="281"/>
      <c r="AMI21" s="281"/>
      <c r="AMJ21" s="281"/>
      <c r="AMK21" s="281"/>
    </row>
    <row r="22" s="54" customFormat="1" ht="45" customHeight="1" spans="1:11">
      <c r="A22" s="254" t="s">
        <v>171</v>
      </c>
      <c r="B22" s="255" t="s">
        <v>172</v>
      </c>
      <c r="C22" s="256" t="s">
        <v>173</v>
      </c>
      <c r="D22" s="252" t="s">
        <v>56</v>
      </c>
      <c r="E22" s="257">
        <f>'MEMÓRIA DE CÁLCULO'!E172</f>
        <v>24.57</v>
      </c>
      <c r="F22" s="258">
        <v>504.44</v>
      </c>
      <c r="G22" s="258">
        <f t="shared" si="0"/>
        <v>649.81</v>
      </c>
      <c r="H22" s="250">
        <f t="shared" si="2"/>
        <v>15965.83</v>
      </c>
      <c r="I22" s="280">
        <f t="shared" si="1"/>
        <v>0.0312944701635529</v>
      </c>
      <c r="K22" s="105">
        <v>0</v>
      </c>
    </row>
    <row r="23" s="54" customFormat="1" ht="54" customHeight="1" spans="1:9">
      <c r="A23" s="243" t="s">
        <v>187</v>
      </c>
      <c r="B23" s="244" t="s">
        <v>188</v>
      </c>
      <c r="C23" s="256" t="s">
        <v>189</v>
      </c>
      <c r="D23" s="252" t="s">
        <v>56</v>
      </c>
      <c r="E23" s="253">
        <f>'MEMÓRIA DE CÁLCULO'!E196</f>
        <v>589.5</v>
      </c>
      <c r="F23" s="259">
        <v>17.38</v>
      </c>
      <c r="G23" s="250">
        <f t="shared" si="0"/>
        <v>22.38</v>
      </c>
      <c r="H23" s="250">
        <f t="shared" si="2"/>
        <v>13193.01</v>
      </c>
      <c r="I23" s="280">
        <f t="shared" si="1"/>
        <v>0.0258594922915035</v>
      </c>
    </row>
    <row r="24" s="54" customFormat="1" ht="31" customHeight="1" spans="1:9">
      <c r="A24" s="254" t="s">
        <v>168</v>
      </c>
      <c r="B24" s="255" t="s">
        <v>166</v>
      </c>
      <c r="C24" s="256" t="s">
        <v>169</v>
      </c>
      <c r="D24" s="252" t="s">
        <v>56</v>
      </c>
      <c r="E24" s="257">
        <f>'MEMÓRIA DE CÁLCULO'!E168</f>
        <v>136.4</v>
      </c>
      <c r="F24" s="258">
        <v>54.91</v>
      </c>
      <c r="G24" s="258">
        <f t="shared" si="0"/>
        <v>70.73</v>
      </c>
      <c r="H24" s="259">
        <f t="shared" si="2"/>
        <v>9647.57</v>
      </c>
      <c r="I24" s="280">
        <f t="shared" si="1"/>
        <v>0.0189101093720645</v>
      </c>
    </row>
    <row r="25" s="54" customFormat="1" ht="29" customHeight="1" spans="1:9">
      <c r="A25" s="243" t="s">
        <v>116</v>
      </c>
      <c r="B25" s="244" t="s">
        <v>117</v>
      </c>
      <c r="C25" s="251" t="s">
        <v>118</v>
      </c>
      <c r="D25" s="252" t="s">
        <v>56</v>
      </c>
      <c r="E25" s="253">
        <f>'MEMÓRIA DE CÁLCULO'!E66</f>
        <v>825.49</v>
      </c>
      <c r="F25" s="249">
        <v>8.32</v>
      </c>
      <c r="G25" s="249">
        <f t="shared" si="0"/>
        <v>10.71</v>
      </c>
      <c r="H25" s="250">
        <f t="shared" si="2"/>
        <v>8840.99</v>
      </c>
      <c r="I25" s="280">
        <f t="shared" si="1"/>
        <v>0.0173291396545791</v>
      </c>
    </row>
    <row r="26" s="54" customFormat="1" ht="44" customHeight="1" spans="1:9">
      <c r="A26" s="263" t="s">
        <v>70</v>
      </c>
      <c r="B26" s="264" t="s">
        <v>71</v>
      </c>
      <c r="C26" s="265" t="s">
        <v>72</v>
      </c>
      <c r="D26" s="264" t="s">
        <v>73</v>
      </c>
      <c r="E26" s="266">
        <f>'MEMÓRIA DE CÁLCULO'!E20</f>
        <v>5</v>
      </c>
      <c r="F26" s="258">
        <v>1360.27</v>
      </c>
      <c r="G26" s="249">
        <f t="shared" si="0"/>
        <v>1752.29</v>
      </c>
      <c r="H26" s="250">
        <f t="shared" si="2"/>
        <v>8761.45</v>
      </c>
      <c r="I26" s="280">
        <f t="shared" si="1"/>
        <v>0.0171732340639015</v>
      </c>
    </row>
    <row r="27" s="54" customFormat="1" ht="52" customHeight="1" spans="1:9">
      <c r="A27" s="243" t="s">
        <v>137</v>
      </c>
      <c r="B27" s="244" t="s">
        <v>132</v>
      </c>
      <c r="C27" s="256" t="s">
        <v>138</v>
      </c>
      <c r="D27" s="252" t="s">
        <v>66</v>
      </c>
      <c r="E27" s="253">
        <f>'MEMÓRIA DE CÁLCULO'!E152</f>
        <v>1.89</v>
      </c>
      <c r="F27" s="258">
        <f>'Composições de Custo'!G43</f>
        <v>3579.73</v>
      </c>
      <c r="G27" s="249">
        <f t="shared" si="0"/>
        <v>4611.4</v>
      </c>
      <c r="H27" s="250">
        <f t="shared" si="2"/>
        <v>8715.54</v>
      </c>
      <c r="I27" s="280">
        <f t="shared" si="1"/>
        <v>0.0170832463134865</v>
      </c>
    </row>
    <row r="28" s="54" customFormat="1" ht="37" customHeight="1" spans="1:9">
      <c r="A28" s="263" t="s">
        <v>67</v>
      </c>
      <c r="B28" s="264" t="s">
        <v>68</v>
      </c>
      <c r="C28" s="265" t="s">
        <v>69</v>
      </c>
      <c r="D28" s="252" t="s">
        <v>56</v>
      </c>
      <c r="E28" s="266">
        <f>'MEMÓRIA DE CÁLCULO'!E19</f>
        <v>132</v>
      </c>
      <c r="F28" s="258">
        <v>50.42</v>
      </c>
      <c r="G28" s="249">
        <f t="shared" si="0"/>
        <v>64.95</v>
      </c>
      <c r="H28" s="250">
        <f t="shared" si="2"/>
        <v>8573.4</v>
      </c>
      <c r="I28" s="280">
        <f t="shared" si="1"/>
        <v>0.0168046390635629</v>
      </c>
    </row>
    <row r="29" s="54" customFormat="1" ht="53" customHeight="1" spans="1:9">
      <c r="A29" s="254" t="s">
        <v>174</v>
      </c>
      <c r="B29" s="255" t="s">
        <v>175</v>
      </c>
      <c r="C29" s="256" t="s">
        <v>176</v>
      </c>
      <c r="D29" s="252" t="s">
        <v>56</v>
      </c>
      <c r="E29" s="257">
        <f>'MEMÓRIA DE CÁLCULO'!E173</f>
        <v>24.57</v>
      </c>
      <c r="F29" s="258">
        <v>236.64</v>
      </c>
      <c r="G29" s="258">
        <f t="shared" si="0"/>
        <v>304.83</v>
      </c>
      <c r="H29" s="250">
        <v>7489.67</v>
      </c>
      <c r="I29" s="280">
        <f t="shared" si="1"/>
        <v>0.0146804302908059</v>
      </c>
    </row>
    <row r="30" s="54" customFormat="1" ht="28" customHeight="1" spans="1:9">
      <c r="A30" s="254" t="s">
        <v>96</v>
      </c>
      <c r="B30" s="244" t="s">
        <v>97</v>
      </c>
      <c r="C30" s="251" t="s">
        <v>98</v>
      </c>
      <c r="D30" s="252" t="s">
        <v>56</v>
      </c>
      <c r="E30" s="266">
        <f>'MEMÓRIA DE CÁLCULO'!E33</f>
        <v>668.01</v>
      </c>
      <c r="F30" s="249">
        <v>8.47</v>
      </c>
      <c r="G30" s="249">
        <f t="shared" si="0"/>
        <v>10.91</v>
      </c>
      <c r="H30" s="250">
        <f>TRUNC(E30*G30,2)</f>
        <v>7287.98</v>
      </c>
      <c r="I30" s="280">
        <f t="shared" si="1"/>
        <v>0.0142850996573664</v>
      </c>
    </row>
    <row r="31" s="54" customFormat="1" ht="43" customHeight="1" spans="1:9">
      <c r="A31" s="254" t="s">
        <v>150</v>
      </c>
      <c r="B31" s="244" t="s">
        <v>151</v>
      </c>
      <c r="C31" s="256" t="s">
        <v>152</v>
      </c>
      <c r="D31" s="252" t="s">
        <v>66</v>
      </c>
      <c r="E31" s="253">
        <f>'MEMÓRIA DE CÁLCULO'!E160</f>
        <v>1.8</v>
      </c>
      <c r="F31" s="258">
        <v>2859.32</v>
      </c>
      <c r="G31" s="258">
        <f t="shared" si="0"/>
        <v>3683.37</v>
      </c>
      <c r="H31" s="259">
        <v>6630.06</v>
      </c>
      <c r="I31" s="280">
        <f t="shared" si="1"/>
        <v>0.0129955169792341</v>
      </c>
    </row>
    <row r="32" s="54" customFormat="1" ht="55" customHeight="1" spans="1:9">
      <c r="A32" s="243" t="s">
        <v>244</v>
      </c>
      <c r="B32" s="244" t="s">
        <v>245</v>
      </c>
      <c r="C32" s="256" t="s">
        <v>246</v>
      </c>
      <c r="D32" s="267" t="s">
        <v>212</v>
      </c>
      <c r="E32" s="261">
        <f>'MEMÓRIA DE CÁLCULO'!E224</f>
        <v>20</v>
      </c>
      <c r="F32" s="262">
        <v>224.33</v>
      </c>
      <c r="G32" s="250">
        <f t="shared" si="0"/>
        <v>288.98</v>
      </c>
      <c r="H32" s="250">
        <f t="shared" ref="H32:H45" si="3">TRUNC(E32*G32,2)</f>
        <v>5779.6</v>
      </c>
      <c r="I32" s="280">
        <f t="shared" si="1"/>
        <v>0.0113285384948525</v>
      </c>
    </row>
    <row r="33" s="54" customFormat="1" ht="41" customHeight="1" spans="1:9">
      <c r="A33" s="243" t="s">
        <v>281</v>
      </c>
      <c r="B33" s="244" t="s">
        <v>282</v>
      </c>
      <c r="C33" s="251" t="s">
        <v>283</v>
      </c>
      <c r="D33" s="252" t="s">
        <v>207</v>
      </c>
      <c r="E33" s="268">
        <f>'MEMÓRIA DE CÁLCULO'!E240</f>
        <v>148</v>
      </c>
      <c r="F33" s="269">
        <v>29.19</v>
      </c>
      <c r="G33" s="250">
        <f t="shared" si="0"/>
        <v>37.6</v>
      </c>
      <c r="H33" s="250">
        <f t="shared" si="3"/>
        <v>5564.8</v>
      </c>
      <c r="I33" s="280">
        <f t="shared" si="1"/>
        <v>0.0109075110762259</v>
      </c>
    </row>
    <row r="34" s="54" customFormat="1" ht="53" customHeight="1" spans="1:9">
      <c r="A34" s="243" t="s">
        <v>131</v>
      </c>
      <c r="B34" s="244" t="s">
        <v>132</v>
      </c>
      <c r="C34" s="256" t="s">
        <v>133</v>
      </c>
      <c r="D34" s="252" t="s">
        <v>66</v>
      </c>
      <c r="E34" s="253">
        <f>'MEMÓRIA DE CÁLCULO'!E139</f>
        <v>1.19</v>
      </c>
      <c r="F34" s="258">
        <f>'Composições de Custo'!G43</f>
        <v>3579.73</v>
      </c>
      <c r="G34" s="249">
        <f t="shared" si="0"/>
        <v>4611.4</v>
      </c>
      <c r="H34" s="250">
        <f t="shared" si="3"/>
        <v>5487.56</v>
      </c>
      <c r="I34" s="280">
        <f t="shared" si="1"/>
        <v>0.0107561136934758</v>
      </c>
    </row>
    <row r="35" s="54" customFormat="1" ht="49" customHeight="1" spans="1:9">
      <c r="A35" s="243" t="s">
        <v>290</v>
      </c>
      <c r="B35" s="244" t="s">
        <v>291</v>
      </c>
      <c r="C35" s="251" t="str">
        <f>'Composições de Custo'!C45</f>
        <v>FORNECIMENTO E INSTALAÇÃO DE MOTOBOMBA CENTRÍFUGA SUBMERSÍVEL PARA REALIZAR O RECALQUE DE ESGOTO SANITÁRIO, TENSÃO 220 V, VAZÃO 20 M³/H, POTÊNCIA 1,0 CV, RECALQUE 2" MODELO SCHNAIDER SÉRIE BCS OU SIMILAR</v>
      </c>
      <c r="D35" s="252" t="s">
        <v>292</v>
      </c>
      <c r="E35" s="268">
        <f>'MEMÓRIA DE CÁLCULO'!E243</f>
        <v>1</v>
      </c>
      <c r="F35" s="269">
        <f>'Composições de Custo'!G60</f>
        <v>4024.75</v>
      </c>
      <c r="G35" s="250">
        <f t="shared" si="0"/>
        <v>5184.68</v>
      </c>
      <c r="H35" s="250">
        <f t="shared" si="3"/>
        <v>5184.68</v>
      </c>
      <c r="I35" s="280">
        <f t="shared" si="1"/>
        <v>0.0101624415121274</v>
      </c>
    </row>
    <row r="36" s="54" customFormat="1" ht="54" customHeight="1" spans="1:9">
      <c r="A36" s="243" t="s">
        <v>348</v>
      </c>
      <c r="B36" s="244" t="s">
        <v>291</v>
      </c>
      <c r="C36" s="251" t="str">
        <f>'Composições de Custo'!C45</f>
        <v>FORNECIMENTO E INSTALAÇÃO DE MOTOBOMBA CENTRÍFUGA SUBMERSÍVEL PARA REALIZAR O RECALQUE DE ESGOTO SANITÁRIO, TENSÃO 220 V, VAZÃO 20 M³/H, POTÊNCIA 1,0 CV, RECALQUE 2" MODELO SCHNAIDER SÉRIE BCS OU SIMILAR</v>
      </c>
      <c r="D36" s="252" t="s">
        <v>292</v>
      </c>
      <c r="E36" s="268">
        <f>'MEMÓRIA DE CÁLCULO'!E278</f>
        <v>1</v>
      </c>
      <c r="F36" s="269">
        <f>'Composições de Custo'!G60</f>
        <v>4024.75</v>
      </c>
      <c r="G36" s="250">
        <f t="shared" si="0"/>
        <v>5184.68</v>
      </c>
      <c r="H36" s="250">
        <f t="shared" si="3"/>
        <v>5184.68</v>
      </c>
      <c r="I36" s="280">
        <f t="shared" si="1"/>
        <v>0.0101624415121274</v>
      </c>
    </row>
    <row r="37" s="54" customFormat="1" ht="45" customHeight="1" spans="1:9">
      <c r="A37" s="243" t="s">
        <v>370</v>
      </c>
      <c r="B37" s="244" t="s">
        <v>181</v>
      </c>
      <c r="C37" s="256" t="s">
        <v>182</v>
      </c>
      <c r="D37" s="252" t="s">
        <v>56</v>
      </c>
      <c r="E37" s="260">
        <f>'MEMÓRIA DE CÁLCULO'!E296</f>
        <v>21</v>
      </c>
      <c r="F37" s="259">
        <v>184.27</v>
      </c>
      <c r="G37" s="250">
        <f t="shared" si="0"/>
        <v>237.37</v>
      </c>
      <c r="H37" s="250">
        <f t="shared" si="3"/>
        <v>4984.77</v>
      </c>
      <c r="I37" s="280">
        <f t="shared" si="1"/>
        <v>0.0097705998396058</v>
      </c>
    </row>
    <row r="38" s="54" customFormat="1" ht="33" customHeight="1" spans="1:9">
      <c r="A38" s="254" t="s">
        <v>84</v>
      </c>
      <c r="B38" s="244" t="s">
        <v>85</v>
      </c>
      <c r="C38" s="270" t="s">
        <v>86</v>
      </c>
      <c r="D38" s="252" t="s">
        <v>56</v>
      </c>
      <c r="E38" s="253">
        <f>'MEMÓRIA DE CÁLCULO'!E29</f>
        <v>391.5</v>
      </c>
      <c r="F38" s="249">
        <v>9.52</v>
      </c>
      <c r="G38" s="249">
        <f t="shared" si="0"/>
        <v>12.26</v>
      </c>
      <c r="H38" s="250">
        <f t="shared" si="3"/>
        <v>4799.79</v>
      </c>
      <c r="I38" s="280">
        <f t="shared" si="1"/>
        <v>0.00940802231680529</v>
      </c>
    </row>
    <row r="39" s="54" customFormat="1" ht="63" spans="1:9">
      <c r="A39" s="243" t="s">
        <v>284</v>
      </c>
      <c r="B39" s="244" t="s">
        <v>285</v>
      </c>
      <c r="C39" s="251" t="s">
        <v>286</v>
      </c>
      <c r="D39" s="252" t="s">
        <v>212</v>
      </c>
      <c r="E39" s="271">
        <f>'MEMÓRIA DE CÁLCULO'!E241</f>
        <v>10</v>
      </c>
      <c r="F39" s="262">
        <v>347.59</v>
      </c>
      <c r="G39" s="250">
        <f t="shared" si="0"/>
        <v>447.76</v>
      </c>
      <c r="H39" s="250">
        <f t="shared" si="3"/>
        <v>4477.6</v>
      </c>
      <c r="I39" s="280">
        <f t="shared" si="1"/>
        <v>0.00877650078976942</v>
      </c>
    </row>
    <row r="40" s="54" customFormat="1" ht="43" customHeight="1" spans="1:9">
      <c r="A40" s="243" t="s">
        <v>337</v>
      </c>
      <c r="B40" s="244" t="s">
        <v>338</v>
      </c>
      <c r="C40" s="251" t="s">
        <v>339</v>
      </c>
      <c r="D40" s="252" t="s">
        <v>56</v>
      </c>
      <c r="E40" s="260">
        <f>'MEMÓRIA DE CÁLCULO'!E270</f>
        <v>22.08</v>
      </c>
      <c r="F40" s="259">
        <v>151.69</v>
      </c>
      <c r="G40" s="250">
        <f t="shared" si="0"/>
        <v>195.4</v>
      </c>
      <c r="H40" s="250">
        <f t="shared" si="3"/>
        <v>4314.43</v>
      </c>
      <c r="I40" s="280">
        <f t="shared" si="1"/>
        <v>0.00845667283866466</v>
      </c>
    </row>
    <row r="41" s="54" customFormat="1" ht="33" customHeight="1" spans="1:9">
      <c r="A41" s="243" t="s">
        <v>296</v>
      </c>
      <c r="B41" s="264" t="s">
        <v>297</v>
      </c>
      <c r="C41" s="265" t="s">
        <v>298</v>
      </c>
      <c r="D41" s="267" t="s">
        <v>66</v>
      </c>
      <c r="E41" s="261">
        <f>'MEMÓRIA DE CÁLCULO'!E245</f>
        <v>29.6</v>
      </c>
      <c r="F41" s="262">
        <v>110.3</v>
      </c>
      <c r="G41" s="250">
        <f t="shared" si="0"/>
        <v>142.08</v>
      </c>
      <c r="H41" s="250">
        <f t="shared" si="3"/>
        <v>4205.56</v>
      </c>
      <c r="I41" s="280">
        <f t="shared" si="1"/>
        <v>0.00824327779645853</v>
      </c>
    </row>
    <row r="42" s="54" customFormat="1" ht="35" customHeight="1" spans="1:9">
      <c r="A42" s="243" t="s">
        <v>299</v>
      </c>
      <c r="B42" s="244" t="s">
        <v>300</v>
      </c>
      <c r="C42" s="265" t="s">
        <v>301</v>
      </c>
      <c r="D42" s="252" t="s">
        <v>66</v>
      </c>
      <c r="E42" s="260">
        <f>'MEMÓRIA DE CÁLCULO'!E246</f>
        <v>29.6</v>
      </c>
      <c r="F42" s="259">
        <v>110.3</v>
      </c>
      <c r="G42" s="250">
        <f t="shared" si="0"/>
        <v>142.08</v>
      </c>
      <c r="H42" s="250">
        <f t="shared" si="3"/>
        <v>4205.56</v>
      </c>
      <c r="I42" s="280">
        <f t="shared" si="1"/>
        <v>0.00824327779645853</v>
      </c>
    </row>
    <row r="43" s="54" customFormat="1" ht="36" customHeight="1" spans="1:9">
      <c r="A43" s="254" t="s">
        <v>75</v>
      </c>
      <c r="B43" s="244" t="s">
        <v>76</v>
      </c>
      <c r="C43" s="270" t="s">
        <v>77</v>
      </c>
      <c r="D43" s="252" t="s">
        <v>56</v>
      </c>
      <c r="E43" s="266">
        <f>'MEMÓRIA DE CÁLCULO'!E23</f>
        <v>272.8</v>
      </c>
      <c r="F43" s="249">
        <v>10.56</v>
      </c>
      <c r="G43" s="249">
        <f t="shared" si="0"/>
        <v>13.6</v>
      </c>
      <c r="H43" s="250">
        <f t="shared" si="3"/>
        <v>3710.08</v>
      </c>
      <c r="I43" s="280">
        <f t="shared" si="1"/>
        <v>0.00727209220343661</v>
      </c>
    </row>
    <row r="44" s="54" customFormat="1" ht="63" spans="1:9">
      <c r="A44" s="243" t="s">
        <v>293</v>
      </c>
      <c r="B44" s="244" t="s">
        <v>294</v>
      </c>
      <c r="C44" s="265" t="s">
        <v>295</v>
      </c>
      <c r="D44" s="267" t="s">
        <v>56</v>
      </c>
      <c r="E44" s="261">
        <f>'MEMÓRIA DE CÁLCULO'!E244</f>
        <v>458.8</v>
      </c>
      <c r="F44" s="262">
        <v>6.2</v>
      </c>
      <c r="G44" s="250">
        <f t="shared" si="0"/>
        <v>7.98</v>
      </c>
      <c r="H44" s="250">
        <f t="shared" si="3"/>
        <v>3661.22</v>
      </c>
      <c r="I44" s="280">
        <f t="shared" si="1"/>
        <v>0.00717632218633188</v>
      </c>
    </row>
    <row r="45" s="54" customFormat="1" ht="81" customHeight="1" spans="1:9">
      <c r="A45" s="243" t="s">
        <v>204</v>
      </c>
      <c r="B45" s="244" t="s">
        <v>205</v>
      </c>
      <c r="C45" s="256" t="s">
        <v>206</v>
      </c>
      <c r="D45" s="252" t="s">
        <v>207</v>
      </c>
      <c r="E45" s="253">
        <f>'MEMÓRIA DE CÁLCULO'!E210</f>
        <v>200</v>
      </c>
      <c r="F45" s="259">
        <v>12.56</v>
      </c>
      <c r="G45" s="250">
        <f t="shared" si="0"/>
        <v>16.17</v>
      </c>
      <c r="H45" s="250">
        <f t="shared" si="3"/>
        <v>3234</v>
      </c>
      <c r="I45" s="280">
        <f t="shared" si="1"/>
        <v>0.0063389323642385</v>
      </c>
    </row>
    <row r="46" s="54" customFormat="1" ht="44" customHeight="1" spans="1:9">
      <c r="A46" s="254" t="s">
        <v>147</v>
      </c>
      <c r="B46" s="244" t="s">
        <v>148</v>
      </c>
      <c r="C46" s="256" t="s">
        <v>149</v>
      </c>
      <c r="D46" s="252" t="s">
        <v>66</v>
      </c>
      <c r="E46" s="253">
        <f>'MEMÓRIA DE CÁLCULO'!E159</f>
        <v>1.2</v>
      </c>
      <c r="F46" s="258">
        <v>1658.99</v>
      </c>
      <c r="G46" s="258">
        <f t="shared" si="0"/>
        <v>2137.11</v>
      </c>
      <c r="H46" s="259">
        <v>2564.53</v>
      </c>
      <c r="I46" s="280">
        <f t="shared" si="1"/>
        <v>0.00502671064194823</v>
      </c>
    </row>
    <row r="47" s="54" customFormat="1" ht="38" customHeight="1" spans="1:9">
      <c r="A47" s="263" t="s">
        <v>63</v>
      </c>
      <c r="B47" s="244" t="s">
        <v>64</v>
      </c>
      <c r="C47" s="265" t="s">
        <v>65</v>
      </c>
      <c r="D47" s="264" t="s">
        <v>66</v>
      </c>
      <c r="E47" s="266">
        <f>'MEMÓRIA DE CÁLCULO'!E17</f>
        <v>45</v>
      </c>
      <c r="F47" s="249">
        <v>43.86</v>
      </c>
      <c r="G47" s="249">
        <f t="shared" si="0"/>
        <v>56.5</v>
      </c>
      <c r="H47" s="250">
        <f t="shared" ref="H47:H62" si="4">TRUNC(E47*G47,2)</f>
        <v>2542.5</v>
      </c>
      <c r="I47" s="280">
        <f t="shared" si="1"/>
        <v>0.00498352985036376</v>
      </c>
    </row>
    <row r="48" s="54" customFormat="1" ht="37" customHeight="1" spans="1:9">
      <c r="A48" s="243" t="s">
        <v>280</v>
      </c>
      <c r="B48" s="244" t="s">
        <v>107</v>
      </c>
      <c r="C48" s="251" t="s">
        <v>136</v>
      </c>
      <c r="D48" s="252" t="s">
        <v>66</v>
      </c>
      <c r="E48" s="268">
        <f>'MEMÓRIA DE CÁLCULO'!E239</f>
        <v>59.2</v>
      </c>
      <c r="F48" s="269">
        <v>31.06</v>
      </c>
      <c r="G48" s="250">
        <f t="shared" si="0"/>
        <v>40.01</v>
      </c>
      <c r="H48" s="250">
        <f t="shared" si="4"/>
        <v>2368.59</v>
      </c>
      <c r="I48" s="280">
        <f t="shared" si="1"/>
        <v>0.00464265052832767</v>
      </c>
    </row>
    <row r="49" s="54" customFormat="1" ht="63" spans="1:9">
      <c r="A49" s="243" t="s">
        <v>343</v>
      </c>
      <c r="B49" s="244" t="s">
        <v>344</v>
      </c>
      <c r="C49" s="251" t="s">
        <v>345</v>
      </c>
      <c r="D49" s="252" t="s">
        <v>212</v>
      </c>
      <c r="E49" s="260">
        <f>'MEMÓRIA DE CÁLCULO'!E276</f>
        <v>1</v>
      </c>
      <c r="F49" s="259">
        <v>1586.09</v>
      </c>
      <c r="G49" s="250">
        <f t="shared" si="0"/>
        <v>2043.2</v>
      </c>
      <c r="H49" s="250">
        <f t="shared" si="4"/>
        <v>2043.2</v>
      </c>
      <c r="I49" s="280">
        <f t="shared" si="1"/>
        <v>0.00400485671200127</v>
      </c>
    </row>
    <row r="50" s="54" customFormat="1" ht="42" customHeight="1" spans="1:9">
      <c r="A50" s="243" t="s">
        <v>331</v>
      </c>
      <c r="B50" s="244" t="s">
        <v>332</v>
      </c>
      <c r="C50" s="251" t="s">
        <v>333</v>
      </c>
      <c r="D50" s="252" t="s">
        <v>66</v>
      </c>
      <c r="E50" s="260">
        <f>'MEMÓRIA DE CÁLCULO'!E266</f>
        <v>0.82</v>
      </c>
      <c r="F50" s="259">
        <v>1628.72</v>
      </c>
      <c r="G50" s="250">
        <f t="shared" si="0"/>
        <v>2098.11</v>
      </c>
      <c r="H50" s="250">
        <f t="shared" si="4"/>
        <v>1720.45</v>
      </c>
      <c r="I50" s="280">
        <f t="shared" si="1"/>
        <v>0.00337223753433956</v>
      </c>
    </row>
    <row r="51" s="54" customFormat="1" ht="34" customHeight="1" spans="1:9">
      <c r="A51" s="243" t="s">
        <v>190</v>
      </c>
      <c r="B51" s="264" t="s">
        <v>191</v>
      </c>
      <c r="C51" s="256" t="s">
        <v>192</v>
      </c>
      <c r="D51" s="252" t="s">
        <v>56</v>
      </c>
      <c r="E51" s="253">
        <f>'MEMÓRIA DE CÁLCULO'!E202</f>
        <v>73.71</v>
      </c>
      <c r="F51" s="259">
        <v>17.98</v>
      </c>
      <c r="G51" s="250">
        <f t="shared" si="0"/>
        <v>23.16</v>
      </c>
      <c r="H51" s="250">
        <f t="shared" si="4"/>
        <v>1707.12</v>
      </c>
      <c r="I51" s="280">
        <f t="shared" si="1"/>
        <v>0.00334610952926371</v>
      </c>
    </row>
    <row r="52" s="54" customFormat="1" ht="36" customHeight="1" spans="1:9">
      <c r="A52" s="243" t="s">
        <v>319</v>
      </c>
      <c r="B52" s="244" t="s">
        <v>320</v>
      </c>
      <c r="C52" s="265" t="s">
        <v>321</v>
      </c>
      <c r="D52" s="252" t="s">
        <v>207</v>
      </c>
      <c r="E52" s="260">
        <f>'MEMÓRIA DE CÁLCULO'!E255</f>
        <v>20</v>
      </c>
      <c r="F52" s="259">
        <v>65.08</v>
      </c>
      <c r="G52" s="250">
        <f t="shared" si="0"/>
        <v>83.83</v>
      </c>
      <c r="H52" s="250">
        <f t="shared" si="4"/>
        <v>1676.6</v>
      </c>
      <c r="I52" s="280">
        <f t="shared" si="1"/>
        <v>0.00328628757015531</v>
      </c>
    </row>
    <row r="53" s="54" customFormat="1" ht="33" customHeight="1" spans="1:9">
      <c r="A53" s="254" t="s">
        <v>93</v>
      </c>
      <c r="B53" s="244" t="s">
        <v>94</v>
      </c>
      <c r="C53" s="251" t="s">
        <v>95</v>
      </c>
      <c r="D53" s="252" t="s">
        <v>56</v>
      </c>
      <c r="E53" s="266">
        <f>'MEMÓRIA DE CÁLCULO'!E32</f>
        <v>55</v>
      </c>
      <c r="F53" s="249">
        <v>22.72</v>
      </c>
      <c r="G53" s="249">
        <f t="shared" si="0"/>
        <v>29.26</v>
      </c>
      <c r="H53" s="250">
        <f t="shared" si="4"/>
        <v>1609.3</v>
      </c>
      <c r="I53" s="280">
        <f t="shared" si="1"/>
        <v>0.00315437348601392</v>
      </c>
    </row>
    <row r="54" s="54" customFormat="1" ht="42" customHeight="1" spans="1:9">
      <c r="A54" s="263" t="s">
        <v>53</v>
      </c>
      <c r="B54" s="264" t="s">
        <v>54</v>
      </c>
      <c r="C54" s="265" t="s">
        <v>55</v>
      </c>
      <c r="D54" s="264" t="s">
        <v>56</v>
      </c>
      <c r="E54" s="266">
        <f>'MEMÓRIA DE CÁLCULO'!E9</f>
        <v>6</v>
      </c>
      <c r="F54" s="249">
        <v>200</v>
      </c>
      <c r="G54" s="249">
        <f t="shared" si="0"/>
        <v>257.64</v>
      </c>
      <c r="H54" s="250">
        <f t="shared" si="4"/>
        <v>1545.84</v>
      </c>
      <c r="I54" s="280">
        <f t="shared" si="1"/>
        <v>0.00302998614902116</v>
      </c>
    </row>
    <row r="55" s="54" customFormat="1" ht="47.25" spans="1:9">
      <c r="A55" s="243" t="s">
        <v>238</v>
      </c>
      <c r="B55" s="244" t="s">
        <v>239</v>
      </c>
      <c r="C55" s="256" t="s">
        <v>240</v>
      </c>
      <c r="D55" s="267" t="s">
        <v>207</v>
      </c>
      <c r="E55" s="261">
        <f>'MEMÓRIA DE CÁLCULO'!E222</f>
        <v>90</v>
      </c>
      <c r="F55" s="262">
        <v>13.03</v>
      </c>
      <c r="G55" s="250">
        <f t="shared" si="0"/>
        <v>16.78</v>
      </c>
      <c r="H55" s="250">
        <f t="shared" si="4"/>
        <v>1510.2</v>
      </c>
      <c r="I55" s="280">
        <f t="shared" si="1"/>
        <v>0.00296012852704792</v>
      </c>
    </row>
    <row r="56" s="54" customFormat="1" ht="57" customHeight="1" spans="1:9">
      <c r="A56" s="243" t="s">
        <v>235</v>
      </c>
      <c r="B56" s="244" t="s">
        <v>236</v>
      </c>
      <c r="C56" s="256" t="s">
        <v>237</v>
      </c>
      <c r="D56" s="267" t="s">
        <v>207</v>
      </c>
      <c r="E56" s="261">
        <f>'MEMÓRIA DE CÁLCULO'!E221</f>
        <v>115</v>
      </c>
      <c r="F56" s="262">
        <v>9.88</v>
      </c>
      <c r="G56" s="250">
        <f t="shared" si="0"/>
        <v>12.72</v>
      </c>
      <c r="H56" s="250">
        <f t="shared" si="4"/>
        <v>1462.8</v>
      </c>
      <c r="I56" s="280">
        <f t="shared" si="1"/>
        <v>0.002867220241932</v>
      </c>
    </row>
    <row r="57" s="54" customFormat="1" ht="39" customHeight="1" spans="1:9">
      <c r="A57" s="243" t="s">
        <v>360</v>
      </c>
      <c r="B57" s="244" t="s">
        <v>151</v>
      </c>
      <c r="C57" s="251" t="str">
        <f>'MEMÓRIA DE CÁLCULO'!C288</f>
        <v>CONCRETO ARMADO PRONTO, FCK 30 MPA,CONDICAO A (NBR 12655), LANCADO EM PILARES E ADENSADO,INCLUSIVE FORMA, ESCORAMENTO E FERRAGEM. </v>
      </c>
      <c r="D57" s="252" t="s">
        <v>66</v>
      </c>
      <c r="E57" s="260">
        <f>'MEMÓRIA DE CÁLCULO'!E288</f>
        <v>0.38</v>
      </c>
      <c r="F57" s="259">
        <v>2859.32</v>
      </c>
      <c r="G57" s="250">
        <f t="shared" si="0"/>
        <v>3683.37</v>
      </c>
      <c r="H57" s="250">
        <f t="shared" si="4"/>
        <v>1399.68</v>
      </c>
      <c r="I57" s="280">
        <f t="shared" si="1"/>
        <v>0.00274349933567636</v>
      </c>
    </row>
    <row r="58" s="54" customFormat="1" ht="36" customHeight="1" spans="1:9">
      <c r="A58" s="254" t="s">
        <v>109</v>
      </c>
      <c r="B58" s="244" t="s">
        <v>110</v>
      </c>
      <c r="C58" s="272" t="s">
        <v>111</v>
      </c>
      <c r="D58" s="252" t="s">
        <v>66</v>
      </c>
      <c r="E58" s="253">
        <f>'MEMÓRIA DE CÁLCULO'!E52</f>
        <v>87.54</v>
      </c>
      <c r="F58" s="249">
        <v>12.36</v>
      </c>
      <c r="G58" s="249">
        <f t="shared" si="0"/>
        <v>15.92</v>
      </c>
      <c r="H58" s="250">
        <f t="shared" si="4"/>
        <v>1393.63</v>
      </c>
      <c r="I58" s="280">
        <f t="shared" si="1"/>
        <v>0.00273164078873646</v>
      </c>
    </row>
    <row r="59" s="54" customFormat="1" ht="38" customHeight="1" spans="1:9">
      <c r="A59" s="243" t="s">
        <v>375</v>
      </c>
      <c r="B59" s="244" t="s">
        <v>376</v>
      </c>
      <c r="C59" s="265" t="s">
        <v>377</v>
      </c>
      <c r="D59" s="252" t="s">
        <v>56</v>
      </c>
      <c r="E59" s="260">
        <f>'MEMÓRIA DE CÁLCULO'!E300</f>
        <v>750</v>
      </c>
      <c r="F59" s="259">
        <v>1.33</v>
      </c>
      <c r="G59" s="250">
        <f t="shared" si="0"/>
        <v>1.71</v>
      </c>
      <c r="H59" s="250">
        <f t="shared" si="4"/>
        <v>1282.5</v>
      </c>
      <c r="I59" s="280">
        <f t="shared" si="1"/>
        <v>0.00251381594221889</v>
      </c>
    </row>
    <row r="60" s="54" customFormat="1" ht="34" customHeight="1" spans="1:9">
      <c r="A60" s="243" t="s">
        <v>119</v>
      </c>
      <c r="B60" s="244" t="s">
        <v>120</v>
      </c>
      <c r="C60" s="251" t="s">
        <v>121</v>
      </c>
      <c r="D60" s="252" t="s">
        <v>56</v>
      </c>
      <c r="E60" s="253">
        <f>'MEMÓRIA DE CÁLCULO'!E85</f>
        <v>50</v>
      </c>
      <c r="F60" s="249">
        <v>18.83</v>
      </c>
      <c r="G60" s="249">
        <f t="shared" si="0"/>
        <v>24.25</v>
      </c>
      <c r="H60" s="250">
        <f t="shared" si="4"/>
        <v>1212.5</v>
      </c>
      <c r="I60" s="280">
        <f t="shared" si="1"/>
        <v>0.00237660961398862</v>
      </c>
    </row>
    <row r="61" s="54" customFormat="1" ht="38" customHeight="1" spans="1:9">
      <c r="A61" s="254" t="s">
        <v>177</v>
      </c>
      <c r="B61" s="255" t="s">
        <v>178</v>
      </c>
      <c r="C61" s="256" t="s">
        <v>179</v>
      </c>
      <c r="D61" s="252" t="s">
        <v>56</v>
      </c>
      <c r="E61" s="257">
        <f>'MEMÓRIA DE CÁLCULO'!E174</f>
        <v>3.6</v>
      </c>
      <c r="F61" s="258">
        <v>251.52</v>
      </c>
      <c r="G61" s="258">
        <f t="shared" si="0"/>
        <v>324</v>
      </c>
      <c r="H61" s="250">
        <f t="shared" si="4"/>
        <v>1166.4</v>
      </c>
      <c r="I61" s="280">
        <f t="shared" si="1"/>
        <v>0.00228624944639697</v>
      </c>
    </row>
    <row r="62" s="54" customFormat="1" ht="35" customHeight="1" spans="1:9">
      <c r="A62" s="243" t="s">
        <v>193</v>
      </c>
      <c r="B62" s="264" t="s">
        <v>194</v>
      </c>
      <c r="C62" s="256" t="s">
        <v>195</v>
      </c>
      <c r="D62" s="252" t="s">
        <v>56</v>
      </c>
      <c r="E62" s="253">
        <f>'MEMÓRIA DE CÁLCULO'!E203</f>
        <v>28.17</v>
      </c>
      <c r="F62" s="259">
        <v>31.83</v>
      </c>
      <c r="G62" s="250">
        <f t="shared" si="0"/>
        <v>41</v>
      </c>
      <c r="H62" s="250">
        <f t="shared" si="4"/>
        <v>1154.97</v>
      </c>
      <c r="I62" s="280">
        <f t="shared" si="1"/>
        <v>0.00226384561308737</v>
      </c>
    </row>
    <row r="63" s="54" customFormat="1" ht="37" customHeight="1" spans="1:9">
      <c r="A63" s="255" t="s">
        <v>153</v>
      </c>
      <c r="B63" s="244" t="s">
        <v>154</v>
      </c>
      <c r="C63" s="256" t="s">
        <v>155</v>
      </c>
      <c r="D63" s="252" t="s">
        <v>66</v>
      </c>
      <c r="E63" s="253">
        <f>'MEMÓRIA DE CÁLCULO'!E161</f>
        <v>0.4</v>
      </c>
      <c r="F63" s="258">
        <v>2085.46</v>
      </c>
      <c r="G63" s="258">
        <f t="shared" si="0"/>
        <v>2686.48</v>
      </c>
      <c r="H63" s="273">
        <v>1074.59</v>
      </c>
      <c r="I63" s="280">
        <f t="shared" si="1"/>
        <v>0.00210629354647095</v>
      </c>
    </row>
    <row r="64" s="54" customFormat="1" ht="31.5" spans="1:9">
      <c r="A64" s="243" t="s">
        <v>340</v>
      </c>
      <c r="B64" s="244" t="s">
        <v>341</v>
      </c>
      <c r="C64" s="251" t="s">
        <v>342</v>
      </c>
      <c r="D64" s="252" t="s">
        <v>56</v>
      </c>
      <c r="E64" s="260">
        <f>'MEMÓRIA DE CÁLCULO'!E273</f>
        <v>7.66</v>
      </c>
      <c r="F64" s="259">
        <v>105.1</v>
      </c>
      <c r="G64" s="250">
        <f t="shared" si="0"/>
        <v>135.38</v>
      </c>
      <c r="H64" s="250">
        <f t="shared" ref="H64:H76" si="5">TRUNC(E64*G64,2)</f>
        <v>1037.01</v>
      </c>
      <c r="I64" s="280">
        <f t="shared" si="1"/>
        <v>0.00203263334911533</v>
      </c>
    </row>
    <row r="65" s="54" customFormat="1" ht="38" customHeight="1" spans="1:9">
      <c r="A65" s="254" t="s">
        <v>87</v>
      </c>
      <c r="B65" s="244" t="s">
        <v>88</v>
      </c>
      <c r="C65" s="270" t="s">
        <v>89</v>
      </c>
      <c r="D65" s="252" t="s">
        <v>56</v>
      </c>
      <c r="E65" s="253">
        <f>'MEMÓRIA DE CÁLCULO'!E30</f>
        <v>39</v>
      </c>
      <c r="F65" s="249">
        <v>20.64</v>
      </c>
      <c r="G65" s="249">
        <f t="shared" si="0"/>
        <v>26.58</v>
      </c>
      <c r="H65" s="250">
        <f t="shared" si="5"/>
        <v>1036.62</v>
      </c>
      <c r="I65" s="280">
        <f t="shared" si="1"/>
        <v>0.00203186891385804</v>
      </c>
    </row>
    <row r="66" s="54" customFormat="1" ht="51" customHeight="1" spans="1:9">
      <c r="A66" s="243" t="s">
        <v>346</v>
      </c>
      <c r="B66" s="244" t="s">
        <v>347</v>
      </c>
      <c r="C66" s="265" t="s">
        <v>321</v>
      </c>
      <c r="D66" s="252" t="s">
        <v>219</v>
      </c>
      <c r="E66" s="260">
        <f>'MEMÓRIA DE CÁLCULO'!E277</f>
        <v>12</v>
      </c>
      <c r="F66" s="259">
        <v>65.08</v>
      </c>
      <c r="G66" s="250">
        <f t="shared" si="0"/>
        <v>83.83</v>
      </c>
      <c r="H66" s="250">
        <f t="shared" si="5"/>
        <v>1005.96</v>
      </c>
      <c r="I66" s="280">
        <f t="shared" si="1"/>
        <v>0.00197177254209319</v>
      </c>
    </row>
    <row r="67" s="54" customFormat="1" ht="31.5" spans="1:9">
      <c r="A67" s="243" t="s">
        <v>322</v>
      </c>
      <c r="B67" s="244" t="s">
        <v>323</v>
      </c>
      <c r="C67" s="265" t="s">
        <v>324</v>
      </c>
      <c r="D67" s="252" t="s">
        <v>56</v>
      </c>
      <c r="E67" s="260">
        <f>'MEMÓRIA DE CÁLCULO'!E256</f>
        <v>7.36</v>
      </c>
      <c r="F67" s="259">
        <v>105.1</v>
      </c>
      <c r="G67" s="250">
        <f t="shared" si="0"/>
        <v>135.38</v>
      </c>
      <c r="H67" s="250">
        <f t="shared" si="5"/>
        <v>996.39</v>
      </c>
      <c r="I67" s="280">
        <f t="shared" si="1"/>
        <v>0.0019530144769337</v>
      </c>
    </row>
    <row r="68" s="54" customFormat="1" ht="36" customHeight="1" spans="1:9">
      <c r="A68" s="243" t="s">
        <v>269</v>
      </c>
      <c r="B68" s="244" t="s">
        <v>270</v>
      </c>
      <c r="C68" s="282" t="s">
        <v>271</v>
      </c>
      <c r="D68" s="252" t="s">
        <v>272</v>
      </c>
      <c r="E68" s="268">
        <f>'MEMÓRIA DE CÁLCULO'!E234</f>
        <v>1</v>
      </c>
      <c r="F68" s="269">
        <v>760.05</v>
      </c>
      <c r="G68" s="250">
        <f t="shared" si="0"/>
        <v>979.09</v>
      </c>
      <c r="H68" s="250">
        <f t="shared" si="5"/>
        <v>979.09</v>
      </c>
      <c r="I68" s="280">
        <f t="shared" si="1"/>
        <v>0.0019191049129568</v>
      </c>
    </row>
    <row r="69" s="54" customFormat="1" ht="28" customHeight="1" spans="1:9">
      <c r="A69" s="254" t="s">
        <v>78</v>
      </c>
      <c r="B69" s="244" t="s">
        <v>79</v>
      </c>
      <c r="C69" s="270" t="s">
        <v>80</v>
      </c>
      <c r="D69" s="252" t="s">
        <v>56</v>
      </c>
      <c r="E69" s="266">
        <f>'MEMÓRIA DE CÁLCULO'!E25</f>
        <v>172.8</v>
      </c>
      <c r="F69" s="249">
        <v>4.23</v>
      </c>
      <c r="G69" s="249">
        <f t="shared" si="0"/>
        <v>5.44</v>
      </c>
      <c r="H69" s="250">
        <f t="shared" si="5"/>
        <v>940.03</v>
      </c>
      <c r="I69" s="280">
        <f t="shared" si="1"/>
        <v>0.0018425437818043</v>
      </c>
    </row>
    <row r="70" s="54" customFormat="1" ht="41" customHeight="1" spans="1:9">
      <c r="A70" s="243" t="s">
        <v>361</v>
      </c>
      <c r="B70" s="244" t="s">
        <v>362</v>
      </c>
      <c r="C70" s="251" t="str">
        <f>'MEMÓRIA DE CÁLCULO'!C289</f>
        <v>ALVENARIA EM PEDRA RACHAO ASSENTADA E REJUNTADA COM ARGAMASSA DE CIMENTO E AREIA NO TRACO 1:6.</v>
      </c>
      <c r="D70" s="252" t="s">
        <v>66</v>
      </c>
      <c r="E70" s="260">
        <f>'MEMÓRIA DE CÁLCULO'!E289</f>
        <v>1.8</v>
      </c>
      <c r="F70" s="259">
        <v>403.58</v>
      </c>
      <c r="G70" s="250">
        <f t="shared" si="0"/>
        <v>519.89</v>
      </c>
      <c r="H70" s="250">
        <f t="shared" si="5"/>
        <v>935.8</v>
      </c>
      <c r="I70" s="280">
        <f t="shared" si="1"/>
        <v>0.00183425259939839</v>
      </c>
    </row>
    <row r="71" s="54" customFormat="1" ht="31.5" spans="1:9">
      <c r="A71" s="263" t="s">
        <v>57</v>
      </c>
      <c r="B71" s="264" t="s">
        <v>58</v>
      </c>
      <c r="C71" s="265" t="s">
        <v>59</v>
      </c>
      <c r="D71" s="252" t="s">
        <v>56</v>
      </c>
      <c r="E71" s="266">
        <f>'MEMÓRIA DE CÁLCULO'!E10</f>
        <v>200</v>
      </c>
      <c r="F71" s="249">
        <v>3.53</v>
      </c>
      <c r="G71" s="249">
        <f t="shared" si="0"/>
        <v>4.54</v>
      </c>
      <c r="H71" s="250">
        <f t="shared" si="5"/>
        <v>908</v>
      </c>
      <c r="I71" s="280">
        <f t="shared" si="1"/>
        <v>0.00177976208618694</v>
      </c>
    </row>
    <row r="72" s="54" customFormat="1" ht="36" customHeight="1" spans="1:9">
      <c r="A72" s="254" t="s">
        <v>180</v>
      </c>
      <c r="B72" s="255" t="s">
        <v>181</v>
      </c>
      <c r="C72" s="256" t="s">
        <v>182</v>
      </c>
      <c r="D72" s="252" t="s">
        <v>56</v>
      </c>
      <c r="E72" s="257">
        <f>'MEMÓRIA DE CÁLCULO'!E175</f>
        <v>3.6</v>
      </c>
      <c r="F72" s="258">
        <v>184.27</v>
      </c>
      <c r="G72" s="258">
        <f t="shared" si="0"/>
        <v>237.37</v>
      </c>
      <c r="H72" s="250">
        <f t="shared" si="5"/>
        <v>854.53</v>
      </c>
      <c r="I72" s="280">
        <f t="shared" si="1"/>
        <v>0.00167495605232304</v>
      </c>
    </row>
    <row r="73" s="54" customFormat="1" ht="35" customHeight="1" spans="1:9">
      <c r="A73" s="243" t="s">
        <v>262</v>
      </c>
      <c r="B73" s="244" t="s">
        <v>263</v>
      </c>
      <c r="C73" s="282" t="s">
        <v>264</v>
      </c>
      <c r="D73" s="252" t="s">
        <v>265</v>
      </c>
      <c r="E73" s="268">
        <f>'MEMÓRIA DE CÁLCULO'!E232</f>
        <v>6</v>
      </c>
      <c r="F73" s="269">
        <v>108.99</v>
      </c>
      <c r="G73" s="250">
        <f t="shared" si="0"/>
        <v>140.4</v>
      </c>
      <c r="H73" s="250">
        <f t="shared" si="5"/>
        <v>842.4</v>
      </c>
      <c r="I73" s="280">
        <f t="shared" si="1"/>
        <v>0.00165118015573114</v>
      </c>
    </row>
    <row r="74" s="54" customFormat="1" ht="64" customHeight="1" spans="1:9">
      <c r="A74" s="243" t="s">
        <v>316</v>
      </c>
      <c r="B74" s="244" t="s">
        <v>317</v>
      </c>
      <c r="C74" s="265" t="s">
        <v>318</v>
      </c>
      <c r="D74" s="252" t="s">
        <v>56</v>
      </c>
      <c r="E74" s="260">
        <f>'MEMÓRIA DE CÁLCULO'!E254</f>
        <v>21</v>
      </c>
      <c r="F74" s="259">
        <v>30.25</v>
      </c>
      <c r="G74" s="250">
        <f t="shared" si="0"/>
        <v>38.96</v>
      </c>
      <c r="H74" s="250">
        <f t="shared" si="5"/>
        <v>818.16</v>
      </c>
      <c r="I74" s="280">
        <f t="shared" si="1"/>
        <v>0.0016036675643554</v>
      </c>
    </row>
    <row r="75" s="54" customFormat="1" ht="44" customHeight="1" spans="1:9">
      <c r="A75" s="243" t="s">
        <v>359</v>
      </c>
      <c r="B75" s="244" t="s">
        <v>148</v>
      </c>
      <c r="C75" s="251" t="str">
        <f>'MEMÓRIA DE CÁLCULO'!C287</f>
        <v>CONCRETO ARMADO PRONTO, FCK 30 MPA CONDICAO A (NBR 12655), LANCADO EM FUNDACOES E ADENSADO, INCLUSIVE FORMA, ESCORAMENTO E FERRAGEM.</v>
      </c>
      <c r="D75" s="252" t="s">
        <v>66</v>
      </c>
      <c r="E75" s="260">
        <f>'MEMÓRIA DE CÁLCULO'!E287</f>
        <v>0.38</v>
      </c>
      <c r="F75" s="259">
        <v>1658.99</v>
      </c>
      <c r="G75" s="250">
        <f t="shared" ref="G75:G125" si="6">TRUNC(F75+F75*$H$7,2)</f>
        <v>2137.11</v>
      </c>
      <c r="H75" s="250">
        <f t="shared" si="5"/>
        <v>812.1</v>
      </c>
      <c r="I75" s="280">
        <f t="shared" ref="I75:I125" si="7">H75/$H$127</f>
        <v>0.00159178941651147</v>
      </c>
    </row>
    <row r="76" s="54" customFormat="1" ht="34" customHeight="1" spans="1:9">
      <c r="A76" s="243" t="s">
        <v>302</v>
      </c>
      <c r="B76" s="244" t="s">
        <v>140</v>
      </c>
      <c r="C76" s="265" t="s">
        <v>141</v>
      </c>
      <c r="D76" s="252" t="s">
        <v>66</v>
      </c>
      <c r="E76" s="260">
        <f>'MEMÓRIA DE CÁLCULO'!E247</f>
        <v>14.8</v>
      </c>
      <c r="F76" s="259">
        <v>42.36</v>
      </c>
      <c r="G76" s="250">
        <f t="shared" si="6"/>
        <v>54.56</v>
      </c>
      <c r="H76" s="250">
        <f t="shared" si="5"/>
        <v>807.48</v>
      </c>
      <c r="I76" s="280">
        <f t="shared" si="7"/>
        <v>0.00158273379884827</v>
      </c>
    </row>
    <row r="77" s="54" customFormat="1" ht="39" customHeight="1" spans="1:9">
      <c r="A77" s="255" t="s">
        <v>156</v>
      </c>
      <c r="B77" s="244" t="s">
        <v>157</v>
      </c>
      <c r="C77" s="256" t="s">
        <v>158</v>
      </c>
      <c r="D77" s="252" t="s">
        <v>66</v>
      </c>
      <c r="E77" s="253">
        <f>'MEMÓRIA DE CÁLCULO'!E162</f>
        <v>0.24</v>
      </c>
      <c r="F77" s="258">
        <v>2462.89</v>
      </c>
      <c r="G77" s="258">
        <f t="shared" si="6"/>
        <v>3172.69</v>
      </c>
      <c r="H77" s="259">
        <v>761.44</v>
      </c>
      <c r="I77" s="280">
        <f t="shared" si="7"/>
        <v>0.00149249123668082</v>
      </c>
    </row>
    <row r="78" s="54" customFormat="1" ht="40" customHeight="1" spans="1:9">
      <c r="A78" s="243" t="s">
        <v>310</v>
      </c>
      <c r="B78" s="244" t="s">
        <v>311</v>
      </c>
      <c r="C78" s="265" t="s">
        <v>312</v>
      </c>
      <c r="D78" s="252" t="s">
        <v>56</v>
      </c>
      <c r="E78" s="260">
        <f>'MEMÓRIA DE CÁLCULO'!E252</f>
        <v>15</v>
      </c>
      <c r="F78" s="259">
        <v>39.28</v>
      </c>
      <c r="G78" s="250">
        <f t="shared" si="6"/>
        <v>50.6</v>
      </c>
      <c r="H78" s="250">
        <f t="shared" ref="H78:H109" si="8">TRUNC(E78*G78,2)</f>
        <v>759</v>
      </c>
      <c r="I78" s="280">
        <f t="shared" si="7"/>
        <v>0.00148770861609679</v>
      </c>
    </row>
    <row r="79" s="54" customFormat="1" ht="31.5" spans="1:9">
      <c r="A79" s="254" t="s">
        <v>90</v>
      </c>
      <c r="B79" s="244" t="s">
        <v>91</v>
      </c>
      <c r="C79" s="251" t="s">
        <v>92</v>
      </c>
      <c r="D79" s="252" t="s">
        <v>56</v>
      </c>
      <c r="E79" s="266">
        <f>'MEMÓRIA DE CÁLCULO'!E31</f>
        <v>52.5</v>
      </c>
      <c r="F79" s="249">
        <v>11.11</v>
      </c>
      <c r="G79" s="249">
        <f t="shared" si="6"/>
        <v>14.31</v>
      </c>
      <c r="H79" s="250">
        <f t="shared" si="8"/>
        <v>751.27</v>
      </c>
      <c r="I79" s="280">
        <f t="shared" si="7"/>
        <v>0.00147255711727936</v>
      </c>
    </row>
    <row r="80" s="54" customFormat="1" ht="38" customHeight="1" spans="1:9">
      <c r="A80" s="243" t="s">
        <v>216</v>
      </c>
      <c r="B80" s="244" t="s">
        <v>217</v>
      </c>
      <c r="C80" s="256" t="s">
        <v>218</v>
      </c>
      <c r="D80" s="267" t="s">
        <v>219</v>
      </c>
      <c r="E80" s="261">
        <f>'MEMÓRIA DE CÁLCULO'!E215</f>
        <v>12</v>
      </c>
      <c r="F80" s="262">
        <v>48.3</v>
      </c>
      <c r="G80" s="250">
        <f t="shared" si="6"/>
        <v>62.22</v>
      </c>
      <c r="H80" s="250">
        <f t="shared" si="8"/>
        <v>746.64</v>
      </c>
      <c r="I80" s="280">
        <f t="shared" si="7"/>
        <v>0.00146348189871213</v>
      </c>
    </row>
    <row r="81" s="54" customFormat="1" ht="24" customHeight="1" spans="1:9">
      <c r="A81" s="263" t="s">
        <v>60</v>
      </c>
      <c r="B81" s="264" t="s">
        <v>61</v>
      </c>
      <c r="C81" s="265" t="s">
        <v>62</v>
      </c>
      <c r="D81" s="252" t="s">
        <v>56</v>
      </c>
      <c r="E81" s="266">
        <f>'MEMÓRIA DE CÁLCULO'!E16</f>
        <v>100</v>
      </c>
      <c r="F81" s="249">
        <v>5.65</v>
      </c>
      <c r="G81" s="249">
        <f t="shared" si="6"/>
        <v>7.27</v>
      </c>
      <c r="H81" s="250">
        <f t="shared" si="8"/>
        <v>727</v>
      </c>
      <c r="I81" s="280">
        <f t="shared" si="7"/>
        <v>0.00142498572319152</v>
      </c>
    </row>
    <row r="82" s="54" customFormat="1" ht="44" customHeight="1" spans="1:9">
      <c r="A82" s="243" t="s">
        <v>327</v>
      </c>
      <c r="B82" s="244" t="s">
        <v>107</v>
      </c>
      <c r="C82" s="265" t="s">
        <v>328</v>
      </c>
      <c r="D82" s="252" t="s">
        <v>66</v>
      </c>
      <c r="E82" s="260">
        <f>'MEMÓRIA DE CÁLCULO'!E260</f>
        <v>16.52</v>
      </c>
      <c r="F82" s="259">
        <v>31.06</v>
      </c>
      <c r="G82" s="250">
        <f t="shared" si="6"/>
        <v>40.01</v>
      </c>
      <c r="H82" s="250">
        <f t="shared" si="8"/>
        <v>660.96</v>
      </c>
      <c r="I82" s="280">
        <f t="shared" si="7"/>
        <v>0.00129554135295828</v>
      </c>
    </row>
    <row r="83" s="54" customFormat="1" ht="51" customHeight="1" spans="1:9">
      <c r="A83" s="243" t="s">
        <v>334</v>
      </c>
      <c r="B83" s="244" t="s">
        <v>335</v>
      </c>
      <c r="C83" s="251" t="s">
        <v>336</v>
      </c>
      <c r="D83" s="252" t="s">
        <v>66</v>
      </c>
      <c r="E83" s="260">
        <f>'MEMÓRIA DE CÁLCULO'!E269</f>
        <v>0.2</v>
      </c>
      <c r="F83" s="259">
        <v>2439.32</v>
      </c>
      <c r="G83" s="250">
        <f t="shared" si="6"/>
        <v>3142.33</v>
      </c>
      <c r="H83" s="250">
        <f t="shared" si="8"/>
        <v>628.46</v>
      </c>
      <c r="I83" s="280">
        <f t="shared" si="7"/>
        <v>0.00123183841485137</v>
      </c>
    </row>
    <row r="84" s="54" customFormat="1" ht="33" customHeight="1" spans="1:9">
      <c r="A84" s="254" t="s">
        <v>81</v>
      </c>
      <c r="B84" s="244" t="s">
        <v>82</v>
      </c>
      <c r="C84" s="270" t="s">
        <v>83</v>
      </c>
      <c r="D84" s="252" t="s">
        <v>56</v>
      </c>
      <c r="E84" s="266">
        <f>'MEMÓRIA DE CÁLCULO'!E26</f>
        <v>39.57</v>
      </c>
      <c r="F84" s="249">
        <v>11.97</v>
      </c>
      <c r="G84" s="249">
        <f t="shared" si="6"/>
        <v>15.41</v>
      </c>
      <c r="H84" s="250">
        <f t="shared" si="8"/>
        <v>609.77</v>
      </c>
      <c r="I84" s="280">
        <f t="shared" si="7"/>
        <v>0.00119520432521389</v>
      </c>
    </row>
    <row r="85" s="54" customFormat="1" ht="36" customHeight="1" spans="1:9">
      <c r="A85" s="243" t="s">
        <v>209</v>
      </c>
      <c r="B85" s="244" t="s">
        <v>210</v>
      </c>
      <c r="C85" s="256" t="s">
        <v>211</v>
      </c>
      <c r="D85" s="252" t="s">
        <v>212</v>
      </c>
      <c r="E85" s="261">
        <f>'MEMÓRIA DE CÁLCULO'!E213</f>
        <v>1</v>
      </c>
      <c r="F85" s="262">
        <v>464.46</v>
      </c>
      <c r="G85" s="250">
        <f t="shared" si="6"/>
        <v>598.31</v>
      </c>
      <c r="H85" s="250">
        <f t="shared" si="8"/>
        <v>598.31</v>
      </c>
      <c r="I85" s="280">
        <f t="shared" si="7"/>
        <v>0.00117274168919219</v>
      </c>
    </row>
    <row r="86" s="54" customFormat="1" ht="24" customHeight="1" spans="1:9">
      <c r="A86" s="254" t="s">
        <v>99</v>
      </c>
      <c r="B86" s="244" t="s">
        <v>100</v>
      </c>
      <c r="C86" s="251" t="s">
        <v>101</v>
      </c>
      <c r="D86" s="252" t="s">
        <v>66</v>
      </c>
      <c r="E86" s="266">
        <f>'MEMÓRIA DE CÁLCULO'!E49</f>
        <v>1.62</v>
      </c>
      <c r="F86" s="249">
        <v>285.66</v>
      </c>
      <c r="G86" s="249">
        <f t="shared" si="6"/>
        <v>367.98</v>
      </c>
      <c r="H86" s="250">
        <f t="shared" si="8"/>
        <v>596.12</v>
      </c>
      <c r="I86" s="280">
        <f t="shared" si="7"/>
        <v>0.00116844909120898</v>
      </c>
    </row>
    <row r="87" s="54" customFormat="1" ht="52" customHeight="1" spans="1:9">
      <c r="A87" s="254" t="s">
        <v>112</v>
      </c>
      <c r="B87" s="244" t="s">
        <v>113</v>
      </c>
      <c r="C87" s="251" t="s">
        <v>467</v>
      </c>
      <c r="D87" s="252" t="s">
        <v>73</v>
      </c>
      <c r="E87" s="253">
        <f>'MEMÓRIA DE CÁLCULO'!E63</f>
        <v>0.5</v>
      </c>
      <c r="F87" s="249">
        <f>'Composição Caminhão Limpa Fossa'!E63</f>
        <v>900.93</v>
      </c>
      <c r="G87" s="249">
        <f t="shared" si="6"/>
        <v>1160.57</v>
      </c>
      <c r="H87" s="250">
        <f t="shared" si="8"/>
        <v>580.28</v>
      </c>
      <c r="I87" s="280">
        <f t="shared" si="7"/>
        <v>0.00113740125922088</v>
      </c>
    </row>
    <row r="88" s="54" customFormat="1" ht="63" spans="1:9">
      <c r="A88" s="243" t="s">
        <v>287</v>
      </c>
      <c r="B88" s="244" t="s">
        <v>288</v>
      </c>
      <c r="C88" s="251" t="s">
        <v>289</v>
      </c>
      <c r="D88" s="252" t="s">
        <v>265</v>
      </c>
      <c r="E88" s="271">
        <f>'MEMÓRIA DE CÁLCULO'!E242</f>
        <v>1</v>
      </c>
      <c r="F88" s="262">
        <v>429.21</v>
      </c>
      <c r="G88" s="250">
        <f t="shared" si="6"/>
        <v>552.9</v>
      </c>
      <c r="H88" s="250">
        <f t="shared" si="8"/>
        <v>552.9</v>
      </c>
      <c r="I88" s="280">
        <f t="shared" si="7"/>
        <v>0.00108373398397881</v>
      </c>
    </row>
    <row r="89" s="54" customFormat="1" ht="36" customHeight="1" spans="1:9">
      <c r="A89" s="243" t="s">
        <v>367</v>
      </c>
      <c r="B89" s="244" t="s">
        <v>368</v>
      </c>
      <c r="C89" s="272" t="s">
        <v>369</v>
      </c>
      <c r="D89" s="252" t="s">
        <v>212</v>
      </c>
      <c r="E89" s="260">
        <f>'MEMÓRIA DE CÁLCULO'!E295</f>
        <v>1</v>
      </c>
      <c r="F89" s="259">
        <v>421.96</v>
      </c>
      <c r="G89" s="250">
        <f t="shared" si="6"/>
        <v>543.56</v>
      </c>
      <c r="H89" s="250">
        <f t="shared" si="8"/>
        <v>543.56</v>
      </c>
      <c r="I89" s="280">
        <f t="shared" si="7"/>
        <v>0.00106542673961208</v>
      </c>
    </row>
    <row r="90" s="54" customFormat="1" ht="33" customHeight="1" spans="1:9">
      <c r="A90" s="243" t="s">
        <v>356</v>
      </c>
      <c r="B90" s="244" t="s">
        <v>357</v>
      </c>
      <c r="C90" s="251" t="str">
        <f>'MEMÓRIA DE CÁLCULO'!C285</f>
        <v>DEMOLICAO DE ALVENARIA DE PEDRA REJUNTADA.</v>
      </c>
      <c r="D90" s="252" t="s">
        <v>66</v>
      </c>
      <c r="E90" s="260">
        <f>'MEMÓRIA DE CÁLCULO'!E285</f>
        <v>1.8</v>
      </c>
      <c r="F90" s="259">
        <v>230.69</v>
      </c>
      <c r="G90" s="250">
        <f t="shared" si="6"/>
        <v>297.17</v>
      </c>
      <c r="H90" s="250">
        <f t="shared" si="8"/>
        <v>534.9</v>
      </c>
      <c r="I90" s="280">
        <f t="shared" si="7"/>
        <v>0.0010484523567196</v>
      </c>
    </row>
    <row r="91" s="54" customFormat="1" ht="47.25" spans="1:9">
      <c r="A91" s="243" t="s">
        <v>232</v>
      </c>
      <c r="B91" s="244" t="s">
        <v>233</v>
      </c>
      <c r="C91" s="256" t="s">
        <v>234</v>
      </c>
      <c r="D91" s="267" t="s">
        <v>207</v>
      </c>
      <c r="E91" s="261">
        <f>'MEMÓRIA DE CÁLCULO'!E220</f>
        <v>70</v>
      </c>
      <c r="F91" s="262">
        <v>5.45</v>
      </c>
      <c r="G91" s="250">
        <f t="shared" si="6"/>
        <v>7.02</v>
      </c>
      <c r="H91" s="250">
        <f t="shared" si="8"/>
        <v>491.4</v>
      </c>
      <c r="I91" s="280">
        <f t="shared" si="7"/>
        <v>0.0009631884241765</v>
      </c>
    </row>
    <row r="92" s="54" customFormat="1" ht="44" customHeight="1" spans="1:9">
      <c r="A92" s="243" t="s">
        <v>349</v>
      </c>
      <c r="B92" s="244" t="s">
        <v>300</v>
      </c>
      <c r="C92" s="251" t="s">
        <v>301</v>
      </c>
      <c r="D92" s="252" t="s">
        <v>66</v>
      </c>
      <c r="E92" s="260">
        <f>'MEMÓRIA DE CÁLCULO'!E279</f>
        <v>3.18</v>
      </c>
      <c r="F92" s="259">
        <v>110.3</v>
      </c>
      <c r="G92" s="250">
        <f t="shared" si="6"/>
        <v>142.08</v>
      </c>
      <c r="H92" s="250">
        <f t="shared" si="8"/>
        <v>451.81</v>
      </c>
      <c r="I92" s="280">
        <f t="shared" si="7"/>
        <v>0.000885588445110265</v>
      </c>
    </row>
    <row r="93" s="54" customFormat="1" ht="41" customHeight="1" spans="1:9">
      <c r="A93" s="243" t="s">
        <v>329</v>
      </c>
      <c r="B93" s="244" t="s">
        <v>145</v>
      </c>
      <c r="C93" s="251" t="s">
        <v>330</v>
      </c>
      <c r="D93" s="252" t="s">
        <v>66</v>
      </c>
      <c r="E93" s="260">
        <f>'MEMÓRIA DE CÁLCULO'!E263</f>
        <v>0.82</v>
      </c>
      <c r="F93" s="259">
        <v>417.36</v>
      </c>
      <c r="G93" s="250">
        <f t="shared" si="6"/>
        <v>537.64</v>
      </c>
      <c r="H93" s="250">
        <f t="shared" si="8"/>
        <v>440.86</v>
      </c>
      <c r="I93" s="280">
        <f t="shared" si="7"/>
        <v>0.000864125455194244</v>
      </c>
    </row>
    <row r="94" s="54" customFormat="1" ht="35" customHeight="1" spans="1:9">
      <c r="A94" s="243" t="s">
        <v>223</v>
      </c>
      <c r="B94" s="244" t="s">
        <v>224</v>
      </c>
      <c r="C94" s="256" t="s">
        <v>225</v>
      </c>
      <c r="D94" s="267" t="s">
        <v>212</v>
      </c>
      <c r="E94" s="261">
        <f>'MEMÓRIA DE CÁLCULO'!E217</f>
        <v>15</v>
      </c>
      <c r="F94" s="262">
        <v>22.45</v>
      </c>
      <c r="G94" s="250">
        <f t="shared" si="6"/>
        <v>28.92</v>
      </c>
      <c r="H94" s="250">
        <f t="shared" si="8"/>
        <v>433.8</v>
      </c>
      <c r="I94" s="280">
        <f t="shared" si="7"/>
        <v>0.00085028721694702</v>
      </c>
    </row>
    <row r="95" s="54" customFormat="1" ht="39" customHeight="1" spans="1:9">
      <c r="A95" s="243" t="s">
        <v>226</v>
      </c>
      <c r="B95" s="244" t="s">
        <v>227</v>
      </c>
      <c r="C95" s="256" t="s">
        <v>228</v>
      </c>
      <c r="D95" s="267" t="s">
        <v>212</v>
      </c>
      <c r="E95" s="261">
        <f>'MEMÓRIA DE CÁLCULO'!E218</f>
        <v>20</v>
      </c>
      <c r="F95" s="262">
        <v>15.52</v>
      </c>
      <c r="G95" s="250">
        <f t="shared" si="6"/>
        <v>19.99</v>
      </c>
      <c r="H95" s="250">
        <f t="shared" si="8"/>
        <v>399.8</v>
      </c>
      <c r="I95" s="280">
        <f t="shared" si="7"/>
        <v>0.000783644143235174</v>
      </c>
    </row>
    <row r="96" s="54" customFormat="1" ht="47.25" spans="1:9">
      <c r="A96" s="243" t="s">
        <v>259</v>
      </c>
      <c r="B96" s="244" t="s">
        <v>260</v>
      </c>
      <c r="C96" s="283" t="s">
        <v>261</v>
      </c>
      <c r="D96" s="252" t="s">
        <v>207</v>
      </c>
      <c r="E96" s="268">
        <f>'MEMÓRIA DE CÁLCULO'!E231</f>
        <v>20</v>
      </c>
      <c r="F96" s="269">
        <v>13.36</v>
      </c>
      <c r="G96" s="250">
        <f t="shared" si="6"/>
        <v>17.21</v>
      </c>
      <c r="H96" s="250">
        <f t="shared" si="8"/>
        <v>344.2</v>
      </c>
      <c r="I96" s="280">
        <f t="shared" si="7"/>
        <v>0.000674663116812273</v>
      </c>
    </row>
    <row r="97" s="54" customFormat="1" ht="49" customHeight="1" spans="1:9">
      <c r="A97" s="243" t="s">
        <v>220</v>
      </c>
      <c r="B97" s="244" t="s">
        <v>221</v>
      </c>
      <c r="C97" s="256" t="s">
        <v>222</v>
      </c>
      <c r="D97" s="252" t="s">
        <v>219</v>
      </c>
      <c r="E97" s="261">
        <f>'MEMÓRIA DE CÁLCULO'!E216</f>
        <v>1</v>
      </c>
      <c r="F97" s="262">
        <v>257.29</v>
      </c>
      <c r="G97" s="250">
        <f t="shared" si="6"/>
        <v>331.44</v>
      </c>
      <c r="H97" s="250">
        <f t="shared" si="8"/>
        <v>331.44</v>
      </c>
      <c r="I97" s="280">
        <f t="shared" si="7"/>
        <v>0.000649652363266298</v>
      </c>
    </row>
    <row r="98" s="54" customFormat="1" ht="36" customHeight="1" spans="1:9">
      <c r="A98" s="243" t="s">
        <v>266</v>
      </c>
      <c r="B98" s="244" t="s">
        <v>267</v>
      </c>
      <c r="C98" s="282" t="s">
        <v>268</v>
      </c>
      <c r="D98" s="252" t="s">
        <v>265</v>
      </c>
      <c r="E98" s="268">
        <f>'MEMÓRIA DE CÁLCULO'!E233</f>
        <v>3</v>
      </c>
      <c r="F98" s="269">
        <v>77.59</v>
      </c>
      <c r="G98" s="250">
        <f t="shared" si="6"/>
        <v>99.95</v>
      </c>
      <c r="H98" s="250">
        <f t="shared" si="8"/>
        <v>299.85</v>
      </c>
      <c r="I98" s="280">
        <f t="shared" si="7"/>
        <v>0.000587733107426381</v>
      </c>
    </row>
    <row r="99" s="54" customFormat="1" ht="37" customHeight="1" spans="1:9">
      <c r="A99" s="243" t="s">
        <v>325</v>
      </c>
      <c r="B99" s="244" t="s">
        <v>140</v>
      </c>
      <c r="C99" s="256" t="s">
        <v>141</v>
      </c>
      <c r="D99" s="252" t="s">
        <v>66</v>
      </c>
      <c r="E99" s="260">
        <f>'MEMÓRIA DE CÁLCULO'!E257</f>
        <v>5.4</v>
      </c>
      <c r="F99" s="259">
        <v>42.36</v>
      </c>
      <c r="G99" s="250">
        <f t="shared" si="6"/>
        <v>54.56</v>
      </c>
      <c r="H99" s="250">
        <f t="shared" si="8"/>
        <v>294.62</v>
      </c>
      <c r="I99" s="280">
        <f t="shared" si="7"/>
        <v>0.000577481834617176</v>
      </c>
    </row>
    <row r="100" s="54" customFormat="1" ht="42" customHeight="1" spans="1:9">
      <c r="A100" s="243" t="s">
        <v>363</v>
      </c>
      <c r="B100" s="244" t="s">
        <v>157</v>
      </c>
      <c r="C100" s="251" t="str">
        <f>'MEMÓRIA DE CÁLCULO'!C290</f>
        <v>CONCRETO ARMADO PRONTO, FCK 30 MPA,CONDICAO A (NBR 12656), LANCADO EM VIGAS E ADENSADO, INCLUSIVE FORMA, ESCORAMENTO E FERRAGEM. </v>
      </c>
      <c r="D100" s="252" t="s">
        <v>66</v>
      </c>
      <c r="E100" s="260">
        <f>'MEMÓRIA DE CÁLCULO'!E290</f>
        <v>0.09</v>
      </c>
      <c r="F100" s="259">
        <v>2462.89</v>
      </c>
      <c r="G100" s="250">
        <f t="shared" si="6"/>
        <v>3172.69</v>
      </c>
      <c r="H100" s="250">
        <f t="shared" si="8"/>
        <v>285.54</v>
      </c>
      <c r="I100" s="280">
        <f t="shared" si="7"/>
        <v>0.000559684213755307</v>
      </c>
    </row>
    <row r="101" s="54" customFormat="1" ht="31.5" spans="1:9">
      <c r="A101" s="243" t="s">
        <v>313</v>
      </c>
      <c r="B101" s="244" t="s">
        <v>314</v>
      </c>
      <c r="C101" s="265" t="s">
        <v>315</v>
      </c>
      <c r="D101" s="252" t="s">
        <v>56</v>
      </c>
      <c r="E101" s="260">
        <f>'MEMÓRIA DE CÁLCULO'!E253</f>
        <v>6</v>
      </c>
      <c r="F101" s="259">
        <v>35.78</v>
      </c>
      <c r="G101" s="250">
        <f t="shared" si="6"/>
        <v>46.09</v>
      </c>
      <c r="H101" s="250">
        <f t="shared" si="8"/>
        <v>276.54</v>
      </c>
      <c r="I101" s="280">
        <f t="shared" si="7"/>
        <v>0.000542043400125701</v>
      </c>
    </row>
    <row r="102" s="54" customFormat="1" ht="43" customHeight="1" spans="1:9">
      <c r="A102" s="243" t="s">
        <v>350</v>
      </c>
      <c r="B102" s="244" t="s">
        <v>140</v>
      </c>
      <c r="C102" s="251" t="s">
        <v>141</v>
      </c>
      <c r="D102" s="252" t="s">
        <v>66</v>
      </c>
      <c r="E102" s="260">
        <f>'MEMÓRIA DE CÁLCULO'!E280</f>
        <v>5</v>
      </c>
      <c r="F102" s="259">
        <v>42.36</v>
      </c>
      <c r="G102" s="250">
        <f t="shared" si="6"/>
        <v>54.56</v>
      </c>
      <c r="H102" s="250">
        <f t="shared" si="8"/>
        <v>272.8</v>
      </c>
      <c r="I102" s="280">
        <f t="shared" si="7"/>
        <v>0.000534712662017398</v>
      </c>
    </row>
    <row r="103" s="54" customFormat="1" ht="32" customHeight="1" spans="1:9">
      <c r="A103" s="243" t="s">
        <v>308</v>
      </c>
      <c r="B103" s="244" t="s">
        <v>100</v>
      </c>
      <c r="C103" s="265" t="s">
        <v>309</v>
      </c>
      <c r="D103" s="252" t="s">
        <v>66</v>
      </c>
      <c r="E103" s="260">
        <f>'MEMÓRIA DE CÁLCULO'!E251</f>
        <v>0.74</v>
      </c>
      <c r="F103" s="259">
        <v>285.66</v>
      </c>
      <c r="G103" s="250">
        <f t="shared" si="6"/>
        <v>367.98</v>
      </c>
      <c r="H103" s="250">
        <f t="shared" si="8"/>
        <v>272.3</v>
      </c>
      <c r="I103" s="280">
        <f t="shared" si="7"/>
        <v>0.000533732616815753</v>
      </c>
    </row>
    <row r="104" s="54" customFormat="1" ht="38" customHeight="1" spans="1:9">
      <c r="A104" s="243" t="s">
        <v>135</v>
      </c>
      <c r="B104" s="244" t="s">
        <v>107</v>
      </c>
      <c r="C104" s="251" t="s">
        <v>136</v>
      </c>
      <c r="D104" s="252" t="s">
        <v>66</v>
      </c>
      <c r="E104" s="253">
        <f>'MEMÓRIA DE CÁLCULO'!E151</f>
        <v>6.33</v>
      </c>
      <c r="F104" s="258">
        <v>31.06</v>
      </c>
      <c r="G104" s="249">
        <f t="shared" si="6"/>
        <v>40.01</v>
      </c>
      <c r="H104" s="250">
        <f t="shared" si="8"/>
        <v>253.26</v>
      </c>
      <c r="I104" s="280">
        <f t="shared" si="7"/>
        <v>0.000496412495537119</v>
      </c>
    </row>
    <row r="105" s="54" customFormat="1" ht="54" customHeight="1" spans="1:9">
      <c r="A105" s="243" t="s">
        <v>250</v>
      </c>
      <c r="B105" s="244" t="s">
        <v>251</v>
      </c>
      <c r="C105" s="256" t="s">
        <v>252</v>
      </c>
      <c r="D105" s="267" t="s">
        <v>212</v>
      </c>
      <c r="E105" s="261">
        <f>'MEMÓRIA DE CÁLCULO'!E226</f>
        <v>2</v>
      </c>
      <c r="F105" s="262">
        <v>95.08</v>
      </c>
      <c r="G105" s="250">
        <f t="shared" si="6"/>
        <v>122.48</v>
      </c>
      <c r="H105" s="250">
        <f t="shared" si="8"/>
        <v>244.96</v>
      </c>
      <c r="I105" s="280">
        <f t="shared" si="7"/>
        <v>0.000480143745189816</v>
      </c>
    </row>
    <row r="106" s="54" customFormat="1" ht="54" customHeight="1" spans="1:9">
      <c r="A106" s="243" t="s">
        <v>139</v>
      </c>
      <c r="B106" s="244" t="s">
        <v>140</v>
      </c>
      <c r="C106" s="265" t="s">
        <v>141</v>
      </c>
      <c r="D106" s="252" t="s">
        <v>66</v>
      </c>
      <c r="E106" s="253">
        <f>'MEMÓRIA DE CÁLCULO'!E154</f>
        <v>4.44</v>
      </c>
      <c r="F106" s="258">
        <v>42.36</v>
      </c>
      <c r="G106" s="249">
        <f t="shared" si="6"/>
        <v>54.56</v>
      </c>
      <c r="H106" s="250">
        <f t="shared" si="8"/>
        <v>242.24</v>
      </c>
      <c r="I106" s="280">
        <f t="shared" si="7"/>
        <v>0.000474812299292868</v>
      </c>
    </row>
    <row r="107" s="54" customFormat="1" ht="38" customHeight="1" spans="1:9">
      <c r="A107" s="243" t="s">
        <v>247</v>
      </c>
      <c r="B107" s="244" t="s">
        <v>248</v>
      </c>
      <c r="C107" s="256" t="s">
        <v>249</v>
      </c>
      <c r="D107" s="267" t="s">
        <v>212</v>
      </c>
      <c r="E107" s="261">
        <f>'MEMÓRIA DE CÁLCULO'!E225</f>
        <v>10</v>
      </c>
      <c r="F107" s="262">
        <v>18.19</v>
      </c>
      <c r="G107" s="250">
        <f t="shared" si="6"/>
        <v>23.43</v>
      </c>
      <c r="H107" s="250">
        <f t="shared" si="8"/>
        <v>234.3</v>
      </c>
      <c r="I107" s="280">
        <f t="shared" si="7"/>
        <v>0.000459249181490749</v>
      </c>
    </row>
    <row r="108" s="54" customFormat="1" ht="42" customHeight="1" spans="1:9">
      <c r="A108" s="243" t="s">
        <v>351</v>
      </c>
      <c r="B108" s="244" t="s">
        <v>352</v>
      </c>
      <c r="C108" s="251" t="s">
        <v>353</v>
      </c>
      <c r="D108" s="252" t="s">
        <v>66</v>
      </c>
      <c r="E108" s="260">
        <f>'MEMÓRIA DE CÁLCULO'!E281</f>
        <v>14.97</v>
      </c>
      <c r="F108" s="259">
        <v>12.13</v>
      </c>
      <c r="G108" s="250">
        <f t="shared" si="6"/>
        <v>15.62</v>
      </c>
      <c r="H108" s="250">
        <f t="shared" si="8"/>
        <v>233.83</v>
      </c>
      <c r="I108" s="280">
        <f t="shared" si="7"/>
        <v>0.000458327939001203</v>
      </c>
    </row>
    <row r="109" s="54" customFormat="1" ht="23" customHeight="1" spans="1:9">
      <c r="A109" s="254" t="s">
        <v>102</v>
      </c>
      <c r="B109" s="244" t="s">
        <v>103</v>
      </c>
      <c r="C109" s="251" t="s">
        <v>104</v>
      </c>
      <c r="D109" s="252" t="s">
        <v>105</v>
      </c>
      <c r="E109" s="253">
        <f>'MEMÓRIA DE CÁLCULO'!E50</f>
        <v>5</v>
      </c>
      <c r="F109" s="249">
        <f>'Composições de Custo'!G12</f>
        <v>36.22</v>
      </c>
      <c r="G109" s="249">
        <f t="shared" si="6"/>
        <v>46.65</v>
      </c>
      <c r="H109" s="250">
        <f t="shared" si="8"/>
        <v>233.25</v>
      </c>
      <c r="I109" s="280">
        <f t="shared" si="7"/>
        <v>0.000457191086567295</v>
      </c>
    </row>
    <row r="110" s="54" customFormat="1" ht="46" customHeight="1" spans="1:9">
      <c r="A110" s="254" t="s">
        <v>144</v>
      </c>
      <c r="B110" s="244" t="s">
        <v>145</v>
      </c>
      <c r="C110" s="256" t="s">
        <v>146</v>
      </c>
      <c r="D110" s="252" t="s">
        <v>66</v>
      </c>
      <c r="E110" s="253">
        <f>'MEMÓRIA DE CÁLCULO'!E158</f>
        <v>0.4</v>
      </c>
      <c r="F110" s="258">
        <v>417.36</v>
      </c>
      <c r="G110" s="258">
        <f t="shared" si="6"/>
        <v>537.64</v>
      </c>
      <c r="H110" s="259">
        <v>215.05</v>
      </c>
      <c r="I110" s="280">
        <f t="shared" si="7"/>
        <v>0.000421517441227424</v>
      </c>
    </row>
    <row r="111" s="54" customFormat="1" ht="27" customHeight="1" spans="1:9">
      <c r="A111" s="243" t="s">
        <v>303</v>
      </c>
      <c r="B111" s="244" t="s">
        <v>304</v>
      </c>
      <c r="C111" s="265" t="s">
        <v>305</v>
      </c>
      <c r="D111" s="243" t="s">
        <v>306</v>
      </c>
      <c r="E111" s="260">
        <f>'MEMÓRIA DE CÁLCULO'!E248</f>
        <v>3.7</v>
      </c>
      <c r="F111" s="259">
        <v>33.98</v>
      </c>
      <c r="G111" s="250">
        <f t="shared" si="6"/>
        <v>43.77</v>
      </c>
      <c r="H111" s="250">
        <f>TRUNC(E111*G111,2)</f>
        <v>161.94</v>
      </c>
      <c r="I111" s="280">
        <f t="shared" si="7"/>
        <v>0.000317417039908715</v>
      </c>
    </row>
    <row r="112" s="54" customFormat="1" ht="45" customHeight="1" spans="1:9">
      <c r="A112" s="254" t="s">
        <v>143</v>
      </c>
      <c r="B112" s="244" t="s">
        <v>107</v>
      </c>
      <c r="C112" s="251" t="s">
        <v>136</v>
      </c>
      <c r="D112" s="252" t="s">
        <v>66</v>
      </c>
      <c r="E112" s="253">
        <f>'MEMÓRIA DE CÁLCULO'!E157</f>
        <v>4</v>
      </c>
      <c r="F112" s="258">
        <v>31.06</v>
      </c>
      <c r="G112" s="258">
        <f t="shared" si="6"/>
        <v>40.01</v>
      </c>
      <c r="H112" s="250">
        <v>160.04</v>
      </c>
      <c r="I112" s="280">
        <f t="shared" si="7"/>
        <v>0.000313692868142464</v>
      </c>
    </row>
    <row r="113" s="54" customFormat="1" ht="43" customHeight="1" spans="1:9">
      <c r="A113" s="243" t="s">
        <v>241</v>
      </c>
      <c r="B113" s="244" t="s">
        <v>242</v>
      </c>
      <c r="C113" s="256" t="s">
        <v>243</v>
      </c>
      <c r="D113" s="267" t="s">
        <v>212</v>
      </c>
      <c r="E113" s="261">
        <f>'MEMÓRIA DE CÁLCULO'!E223</f>
        <v>1</v>
      </c>
      <c r="F113" s="262">
        <v>121.62</v>
      </c>
      <c r="G113" s="250">
        <f t="shared" si="6"/>
        <v>156.67</v>
      </c>
      <c r="H113" s="250">
        <f>TRUNC(E113*G113,2)</f>
        <v>156.67</v>
      </c>
      <c r="I113" s="280">
        <f t="shared" si="7"/>
        <v>0.000307087363483378</v>
      </c>
    </row>
    <row r="114" s="54" customFormat="1" ht="35.1" customHeight="1" spans="1:9">
      <c r="A114" s="255" t="s">
        <v>159</v>
      </c>
      <c r="B114" s="244" t="s">
        <v>140</v>
      </c>
      <c r="C114" s="256" t="s">
        <v>160</v>
      </c>
      <c r="D114" s="252" t="s">
        <v>66</v>
      </c>
      <c r="E114" s="253">
        <f>'MEMÓRIA DE CÁLCULO'!E163</f>
        <v>2.8</v>
      </c>
      <c r="F114" s="258">
        <v>42.36</v>
      </c>
      <c r="G114" s="258">
        <f t="shared" si="6"/>
        <v>54.56</v>
      </c>
      <c r="H114" s="259">
        <v>152.76</v>
      </c>
      <c r="I114" s="280">
        <f t="shared" si="7"/>
        <v>0.000299423410006516</v>
      </c>
    </row>
    <row r="115" ht="31.5" spans="1:9">
      <c r="A115" s="243" t="s">
        <v>358</v>
      </c>
      <c r="B115" s="244" t="s">
        <v>145</v>
      </c>
      <c r="C115" s="251" t="str">
        <f>'MEMÓRIA DE CÁLCULO'!C286</f>
        <v>CONCRETO NAO ESTRUTURAL (1 4 8) PARA LASTROS DE PISOS E FUNDACOES, LANCADO E ADENSADO.</v>
      </c>
      <c r="D115" s="252" t="s">
        <v>66</v>
      </c>
      <c r="E115" s="260">
        <f>'MEMÓRIA DE CÁLCULO'!E286</f>
        <v>0.2</v>
      </c>
      <c r="F115" s="259">
        <v>417.36</v>
      </c>
      <c r="G115" s="250">
        <f t="shared" si="6"/>
        <v>537.64</v>
      </c>
      <c r="H115" s="250">
        <f t="shared" ref="H115:H125" si="9">TRUNC(E115*G115,2)</f>
        <v>107.52</v>
      </c>
      <c r="I115" s="280">
        <f t="shared" si="7"/>
        <v>0.000210748920161696</v>
      </c>
    </row>
    <row r="116" ht="31.5" spans="1:9">
      <c r="A116" s="243" t="s">
        <v>365</v>
      </c>
      <c r="B116" s="244" t="s">
        <v>140</v>
      </c>
      <c r="C116" s="251" t="str">
        <f>'MEMÓRIA DE CÁLCULO'!C292</f>
        <v>REATERRO APILOADO DE VALAS EM CAMADAS DE 20CM DE ESPESSURA, COM APROVEITAMENTO DO MATERIAL ESCAVADO. </v>
      </c>
      <c r="D116" s="252" t="s">
        <v>66</v>
      </c>
      <c r="E116" s="260">
        <f>'MEMÓRIA DE CÁLCULO'!E292</f>
        <v>1.62</v>
      </c>
      <c r="F116" s="259">
        <v>42.36</v>
      </c>
      <c r="G116" s="250">
        <f t="shared" si="6"/>
        <v>54.56</v>
      </c>
      <c r="H116" s="250">
        <f t="shared" si="9"/>
        <v>88.38</v>
      </c>
      <c r="I116" s="280">
        <f t="shared" si="7"/>
        <v>0.000173232789842733</v>
      </c>
    </row>
    <row r="117" ht="31.5" spans="1:9">
      <c r="A117" s="243" t="s">
        <v>355</v>
      </c>
      <c r="B117" s="244" t="s">
        <v>107</v>
      </c>
      <c r="C117" s="251" t="str">
        <f>'MEMÓRIA DE CÁLCULO'!C284</f>
        <v>ESCAVACAO MANUAL EM TERRA ATE 1,50 M DE PROFUNDIDADE, SEM ESCORAMENTO. </v>
      </c>
      <c r="D117" s="252" t="s">
        <v>66</v>
      </c>
      <c r="E117" s="260">
        <f>'MEMÓRIA DE CÁLCULO'!E284</f>
        <v>2</v>
      </c>
      <c r="F117" s="259">
        <v>31.06</v>
      </c>
      <c r="G117" s="250">
        <f t="shared" si="6"/>
        <v>40.01</v>
      </c>
      <c r="H117" s="250">
        <f t="shared" si="9"/>
        <v>80.02</v>
      </c>
      <c r="I117" s="280">
        <f t="shared" si="7"/>
        <v>0.000156846434071232</v>
      </c>
    </row>
    <row r="118" ht="31.5" spans="1:9">
      <c r="A118" s="243" t="s">
        <v>273</v>
      </c>
      <c r="B118" s="244" t="s">
        <v>274</v>
      </c>
      <c r="C118" s="282" t="s">
        <v>275</v>
      </c>
      <c r="D118" s="252" t="s">
        <v>265</v>
      </c>
      <c r="E118" s="268">
        <f>'MEMÓRIA DE CÁLCULO'!E235</f>
        <v>1</v>
      </c>
      <c r="F118" s="269">
        <v>57.21</v>
      </c>
      <c r="G118" s="250">
        <f t="shared" si="6"/>
        <v>73.69</v>
      </c>
      <c r="H118" s="250">
        <f t="shared" si="9"/>
        <v>73.69</v>
      </c>
      <c r="I118" s="280">
        <f t="shared" si="7"/>
        <v>0.000144439061818409</v>
      </c>
    </row>
    <row r="119" ht="31.5" spans="1:9">
      <c r="A119" s="243" t="s">
        <v>364</v>
      </c>
      <c r="B119" s="244" t="s">
        <v>352</v>
      </c>
      <c r="C119" s="251" t="str">
        <f>'MEMÓRIA DE CÁLCULO'!C291</f>
        <v>REMOCAO DE MATERIAL DE PRIMEIRA CATEGORIA EM CAMINHAO BASCULANTE, D.M.T. 6 KM, INCLUSIVE CARGA E DESCARGA MECANICAS .</v>
      </c>
      <c r="D119" s="252" t="s">
        <v>66</v>
      </c>
      <c r="E119" s="260">
        <f>'MEMÓRIA DE CÁLCULO'!E291</f>
        <v>4.56</v>
      </c>
      <c r="F119" s="259">
        <v>12.13</v>
      </c>
      <c r="G119" s="250">
        <f t="shared" si="6"/>
        <v>15.62</v>
      </c>
      <c r="H119" s="250">
        <f t="shared" si="9"/>
        <v>71.22</v>
      </c>
      <c r="I119" s="280">
        <f t="shared" si="7"/>
        <v>0.000139597638522284</v>
      </c>
    </row>
    <row r="120" ht="31.5" spans="1:9">
      <c r="A120" s="243" t="s">
        <v>213</v>
      </c>
      <c r="B120" s="244" t="s">
        <v>214</v>
      </c>
      <c r="C120" s="256" t="s">
        <v>215</v>
      </c>
      <c r="D120" s="267" t="s">
        <v>212</v>
      </c>
      <c r="E120" s="261">
        <f>'MEMÓRIA DE CÁLCULO'!E214</f>
        <v>2</v>
      </c>
      <c r="F120" s="262">
        <v>23.64</v>
      </c>
      <c r="G120" s="250">
        <f t="shared" si="6"/>
        <v>30.45</v>
      </c>
      <c r="H120" s="250">
        <f t="shared" si="9"/>
        <v>60.9</v>
      </c>
      <c r="I120" s="280">
        <f t="shared" si="7"/>
        <v>0.000119369505560335</v>
      </c>
    </row>
    <row r="121" ht="31.5" spans="1:9">
      <c r="A121" s="254" t="s">
        <v>106</v>
      </c>
      <c r="B121" s="244" t="s">
        <v>107</v>
      </c>
      <c r="C121" s="251" t="s">
        <v>108</v>
      </c>
      <c r="D121" s="252" t="s">
        <v>66</v>
      </c>
      <c r="E121" s="253">
        <f>'MEMÓRIA DE CÁLCULO'!E51</f>
        <v>1.5</v>
      </c>
      <c r="F121" s="249">
        <v>31.06</v>
      </c>
      <c r="G121" s="249">
        <f t="shared" si="6"/>
        <v>40.01</v>
      </c>
      <c r="H121" s="250">
        <f t="shared" si="9"/>
        <v>60.01</v>
      </c>
      <c r="I121" s="280">
        <f t="shared" si="7"/>
        <v>0.000117625025101408</v>
      </c>
    </row>
    <row r="122" ht="31.5" spans="1:9">
      <c r="A122" s="243" t="s">
        <v>253</v>
      </c>
      <c r="B122" s="244" t="s">
        <v>254</v>
      </c>
      <c r="C122" s="283" t="s">
        <v>255</v>
      </c>
      <c r="D122" s="267" t="s">
        <v>212</v>
      </c>
      <c r="E122" s="261">
        <f>'MEMÓRIA DE CÁLCULO'!E227</f>
        <v>1</v>
      </c>
      <c r="F122" s="262">
        <v>38.22</v>
      </c>
      <c r="G122" s="250">
        <f t="shared" si="6"/>
        <v>49.23</v>
      </c>
      <c r="H122" s="250">
        <f t="shared" si="9"/>
        <v>49.23</v>
      </c>
      <c r="I122" s="280">
        <f t="shared" si="7"/>
        <v>9.6495250553946e-5</v>
      </c>
    </row>
    <row r="123" ht="31.5" spans="1:9">
      <c r="A123" s="243" t="s">
        <v>256</v>
      </c>
      <c r="B123" s="244" t="s">
        <v>254</v>
      </c>
      <c r="C123" s="283" t="s">
        <v>257</v>
      </c>
      <c r="D123" s="267" t="s">
        <v>212</v>
      </c>
      <c r="E123" s="261">
        <f>'MEMÓRIA DE CÁLCULO'!E228</f>
        <v>1</v>
      </c>
      <c r="F123" s="262">
        <v>38.22</v>
      </c>
      <c r="G123" s="250">
        <f t="shared" si="6"/>
        <v>49.23</v>
      </c>
      <c r="H123" s="250">
        <f t="shared" si="9"/>
        <v>49.23</v>
      </c>
      <c r="I123" s="280">
        <f t="shared" si="7"/>
        <v>9.6495250553946e-5</v>
      </c>
    </row>
    <row r="124" ht="31.5" spans="1:9">
      <c r="A124" s="243" t="s">
        <v>276</v>
      </c>
      <c r="B124" s="244" t="s">
        <v>277</v>
      </c>
      <c r="C124" s="282" t="s">
        <v>278</v>
      </c>
      <c r="D124" s="252" t="s">
        <v>272</v>
      </c>
      <c r="E124" s="268">
        <f>'MEMÓRIA DE CÁLCULO'!E236</f>
        <v>1</v>
      </c>
      <c r="F124" s="269">
        <v>21.94</v>
      </c>
      <c r="G124" s="250">
        <f t="shared" si="6"/>
        <v>28.26</v>
      </c>
      <c r="H124" s="250">
        <f t="shared" si="9"/>
        <v>28.26</v>
      </c>
      <c r="I124" s="280">
        <f t="shared" si="7"/>
        <v>5.53921547969635e-5</v>
      </c>
    </row>
    <row r="125" ht="31.5" spans="1:9">
      <c r="A125" s="243" t="s">
        <v>134</v>
      </c>
      <c r="B125" s="244" t="s">
        <v>88</v>
      </c>
      <c r="C125" s="270" t="s">
        <v>89</v>
      </c>
      <c r="D125" s="252" t="s">
        <v>56</v>
      </c>
      <c r="E125" s="253">
        <f>'MEMÓRIA DE CÁLCULO'!E150</f>
        <v>0.58</v>
      </c>
      <c r="F125" s="258">
        <v>20.64</v>
      </c>
      <c r="G125" s="249">
        <f t="shared" si="6"/>
        <v>26.58</v>
      </c>
      <c r="H125" s="250">
        <f t="shared" si="9"/>
        <v>15.41</v>
      </c>
      <c r="I125" s="280">
        <f t="shared" si="7"/>
        <v>3.02049931146924e-5</v>
      </c>
    </row>
    <row r="126" ht="9" customHeight="1" spans="1:9">
      <c r="A126" s="284"/>
      <c r="B126" s="285"/>
      <c r="C126" s="285"/>
      <c r="D126" s="285"/>
      <c r="E126" s="285"/>
      <c r="F126" s="285"/>
      <c r="G126" s="285"/>
      <c r="H126" s="285"/>
      <c r="I126" s="288"/>
    </row>
    <row r="127" ht="39" customHeight="1" spans="1:9">
      <c r="A127" s="286" t="s">
        <v>378</v>
      </c>
      <c r="B127" s="286"/>
      <c r="C127" s="286"/>
      <c r="D127" s="286"/>
      <c r="E127" s="286"/>
      <c r="F127" s="286"/>
      <c r="G127" s="286"/>
      <c r="H127" s="287">
        <f>SUM(H11:H126)</f>
        <v>510180.55</v>
      </c>
      <c r="I127" s="289">
        <f>H127/$H$127</f>
        <v>1</v>
      </c>
    </row>
    <row r="203" spans="2:2">
      <c r="B203" s="57" t="s">
        <v>182</v>
      </c>
    </row>
  </sheetData>
  <sortState ref="A11:I126">
    <sortCondition ref="I11:I126" descending="1"/>
  </sortState>
  <mergeCells count="22">
    <mergeCell ref="A1:I1"/>
    <mergeCell ref="A2:I2"/>
    <mergeCell ref="A3:I3"/>
    <mergeCell ref="A4:B4"/>
    <mergeCell ref="C4:I4"/>
    <mergeCell ref="A5:B5"/>
    <mergeCell ref="C5:I5"/>
    <mergeCell ref="A6:B6"/>
    <mergeCell ref="C6:I6"/>
    <mergeCell ref="A126:I126"/>
    <mergeCell ref="A127:G127"/>
    <mergeCell ref="A7:A10"/>
    <mergeCell ref="B7:B10"/>
    <mergeCell ref="C7:C10"/>
    <mergeCell ref="D7:D10"/>
    <mergeCell ref="E7:E10"/>
    <mergeCell ref="F7:F10"/>
    <mergeCell ref="G7:G8"/>
    <mergeCell ref="G9:G10"/>
    <mergeCell ref="H7:H8"/>
    <mergeCell ref="H9:H10"/>
    <mergeCell ref="I7:I10"/>
  </mergeCells>
  <printOptions horizontalCentered="1"/>
  <pageMargins left="0" right="0" top="0" bottom="0" header="0" footer="0"/>
  <pageSetup paperSize="9" scale="44" firstPageNumber="0" orientation="portrait" useFirstPageNumber="1" horizontalDpi="300" verticalDpi="300"/>
  <headerFooter>
    <oddHeader>&amp;C&amp;12&amp;A</oddHeader>
  </headerFooter>
  <rowBreaks count="4" manualBreakCount="4">
    <brk id="39" max="8" man="1"/>
    <brk id="74" max="8" man="1"/>
    <brk id="105" max="8" man="1"/>
    <brk id="127" max="8" man="1"/>
  </row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0"/>
  <sheetViews>
    <sheetView view="pageBreakPreview" zoomScaleNormal="100" topLeftCell="A12" workbookViewId="0">
      <selection activeCell="I3" sqref="I3"/>
    </sheetView>
  </sheetViews>
  <sheetFormatPr defaultColWidth="9.31111111111111" defaultRowHeight="15.75"/>
  <cols>
    <col min="1" max="1" width="18.3333333333333" style="192" customWidth="1"/>
    <col min="2" max="2" width="19.6444444444444" style="192" customWidth="1"/>
    <col min="3" max="3" width="65.5222222222222" style="192" customWidth="1"/>
    <col min="4" max="4" width="8" style="192" customWidth="1"/>
    <col min="5" max="5" width="21.8444444444444" style="192" customWidth="1"/>
    <col min="6" max="6" width="18.1555555555556" style="192" customWidth="1"/>
    <col min="7" max="7" width="15.9777777777778" style="192" customWidth="1"/>
    <col min="8" max="8" width="9.33333333333333" style="192"/>
    <col min="9" max="9" width="20.1444444444444" style="193" customWidth="1"/>
    <col min="10" max="10" width="9.33333333333333" style="193"/>
    <col min="11" max="11" width="9.33333333333333" style="194"/>
    <col min="12" max="13" width="12.6666666666667" style="192" customWidth="1"/>
    <col min="14" max="1025" width="9.33333333333333" style="192"/>
  </cols>
  <sheetData>
    <row r="1" ht="75" customHeight="1" spans="1:7">
      <c r="A1" s="195" t="s">
        <v>0</v>
      </c>
      <c r="B1" s="196"/>
      <c r="C1" s="196"/>
      <c r="D1" s="196"/>
      <c r="E1" s="196"/>
      <c r="F1" s="196"/>
      <c r="G1" s="197"/>
    </row>
    <row r="2" ht="32" customHeight="1" spans="1:7">
      <c r="A2" s="198" t="s">
        <v>468</v>
      </c>
      <c r="B2" s="199"/>
      <c r="C2" s="199"/>
      <c r="D2" s="199"/>
      <c r="E2" s="199"/>
      <c r="F2" s="199"/>
      <c r="G2" s="200"/>
    </row>
    <row r="3" ht="58" customHeight="1" spans="1:7">
      <c r="A3" s="201" t="s">
        <v>469</v>
      </c>
      <c r="B3" s="202" t="s">
        <v>452</v>
      </c>
      <c r="C3" s="202"/>
      <c r="D3" s="202"/>
      <c r="E3" s="202"/>
      <c r="F3" s="202"/>
      <c r="G3" s="203">
        <v>44075</v>
      </c>
    </row>
    <row r="4" ht="23" customHeight="1" spans="1:7">
      <c r="A4" s="204" t="s">
        <v>470</v>
      </c>
      <c r="B4" s="205" t="s">
        <v>6</v>
      </c>
      <c r="C4" s="205"/>
      <c r="D4" s="205"/>
      <c r="E4" s="205"/>
      <c r="F4" s="205"/>
      <c r="G4" s="205"/>
    </row>
    <row r="5" ht="24.75" customHeight="1" spans="1:7">
      <c r="A5" s="206" t="s">
        <v>471</v>
      </c>
      <c r="B5" s="206"/>
      <c r="C5" s="206"/>
      <c r="D5" s="206"/>
      <c r="E5" s="206"/>
      <c r="F5" s="206" t="s">
        <v>472</v>
      </c>
      <c r="G5" s="206" t="s">
        <v>105</v>
      </c>
    </row>
    <row r="6" ht="51" customHeight="1" spans="1:14">
      <c r="A6" s="207" t="s">
        <v>103</v>
      </c>
      <c r="B6" s="207"/>
      <c r="C6" s="208" t="s">
        <v>104</v>
      </c>
      <c r="D6" s="208"/>
      <c r="E6" s="207" t="s">
        <v>473</v>
      </c>
      <c r="F6" s="207" t="s">
        <v>474</v>
      </c>
      <c r="G6" s="207" t="s">
        <v>475</v>
      </c>
      <c r="L6" s="219"/>
      <c r="M6" s="219"/>
      <c r="N6" s="219"/>
    </row>
    <row r="7" ht="21" customHeight="1" spans="1:14">
      <c r="A7" s="209" t="s">
        <v>476</v>
      </c>
      <c r="B7" s="209"/>
      <c r="C7" s="209"/>
      <c r="D7" s="210"/>
      <c r="E7" s="210"/>
      <c r="F7" s="210"/>
      <c r="G7" s="210"/>
      <c r="L7" s="219"/>
      <c r="M7" s="219"/>
      <c r="N7" s="219"/>
    </row>
    <row r="8" ht="63" spans="1:14">
      <c r="A8" s="206" t="s">
        <v>53</v>
      </c>
      <c r="B8" s="83" t="s">
        <v>477</v>
      </c>
      <c r="C8" s="97" t="s">
        <v>478</v>
      </c>
      <c r="D8" s="206" t="s">
        <v>479</v>
      </c>
      <c r="E8" s="211">
        <v>0.042</v>
      </c>
      <c r="F8" s="212">
        <v>180.49</v>
      </c>
      <c r="G8" s="212">
        <f>TRUNC(E8*F8,2)</f>
        <v>7.58</v>
      </c>
      <c r="H8" s="213"/>
      <c r="I8" s="213"/>
      <c r="K8" s="220"/>
      <c r="L8" s="221"/>
      <c r="M8" s="222"/>
      <c r="N8" s="223"/>
    </row>
    <row r="9" ht="21" customHeight="1" spans="1:14">
      <c r="A9" s="209" t="s">
        <v>480</v>
      </c>
      <c r="B9" s="209"/>
      <c r="C9" s="209"/>
      <c r="D9" s="210"/>
      <c r="E9" s="210"/>
      <c r="F9" s="210"/>
      <c r="G9" s="210"/>
      <c r="L9" s="219"/>
      <c r="M9" s="219"/>
      <c r="N9" s="219"/>
    </row>
    <row r="10" ht="36" customHeight="1" spans="1:7">
      <c r="A10" s="206" t="s">
        <v>75</v>
      </c>
      <c r="B10" s="83" t="s">
        <v>481</v>
      </c>
      <c r="C10" s="97" t="s">
        <v>482</v>
      </c>
      <c r="D10" s="206" t="s">
        <v>479</v>
      </c>
      <c r="E10" s="211">
        <v>1.5241</v>
      </c>
      <c r="F10" s="212">
        <v>9.45</v>
      </c>
      <c r="G10" s="212">
        <v>21.1</v>
      </c>
    </row>
    <row r="11" ht="36" customHeight="1" spans="1:7">
      <c r="A11" s="206" t="s">
        <v>78</v>
      </c>
      <c r="B11" s="83" t="s">
        <v>483</v>
      </c>
      <c r="C11" s="97" t="s">
        <v>484</v>
      </c>
      <c r="D11" s="206" t="s">
        <v>479</v>
      </c>
      <c r="E11" s="211">
        <v>0.5612</v>
      </c>
      <c r="F11" s="212">
        <v>13.45</v>
      </c>
      <c r="G11" s="212">
        <f>TRUNC(E11*F11,2)</f>
        <v>7.54</v>
      </c>
    </row>
    <row r="12" ht="36" customHeight="1" spans="1:13">
      <c r="A12" s="214" t="s">
        <v>485</v>
      </c>
      <c r="B12" s="214"/>
      <c r="C12" s="214"/>
      <c r="D12" s="214"/>
      <c r="E12" s="214"/>
      <c r="F12" s="214"/>
      <c r="G12" s="215">
        <f>SUM(G8:G11)</f>
        <v>36.22</v>
      </c>
      <c r="M12" s="224"/>
    </row>
    <row r="13" ht="21" customHeight="1" spans="1:7">
      <c r="A13" s="206" t="s">
        <v>471</v>
      </c>
      <c r="B13" s="206"/>
      <c r="C13" s="206"/>
      <c r="D13" s="206"/>
      <c r="E13" s="206"/>
      <c r="F13" s="206" t="s">
        <v>472</v>
      </c>
      <c r="G13" s="206" t="s">
        <v>486</v>
      </c>
    </row>
    <row r="14" ht="59" customHeight="1" spans="1:14">
      <c r="A14" s="207" t="s">
        <v>372</v>
      </c>
      <c r="B14" s="207"/>
      <c r="C14" s="208" t="s">
        <v>487</v>
      </c>
      <c r="D14" s="208"/>
      <c r="E14" s="207" t="s">
        <v>473</v>
      </c>
      <c r="F14" s="207" t="s">
        <v>474</v>
      </c>
      <c r="G14" s="207" t="s">
        <v>475</v>
      </c>
      <c r="L14" s="219"/>
      <c r="M14" s="219"/>
      <c r="N14" s="219"/>
    </row>
    <row r="15" ht="21" customHeight="1" spans="1:14">
      <c r="A15" s="209" t="s">
        <v>476</v>
      </c>
      <c r="B15" s="209"/>
      <c r="C15" s="209"/>
      <c r="D15" s="210"/>
      <c r="E15" s="210"/>
      <c r="F15" s="210"/>
      <c r="G15" s="210"/>
      <c r="L15" s="219"/>
      <c r="M15" s="219"/>
      <c r="N15" s="219"/>
    </row>
    <row r="16" ht="63" spans="1:14">
      <c r="A16" s="206" t="s">
        <v>53</v>
      </c>
      <c r="B16" s="83" t="s">
        <v>477</v>
      </c>
      <c r="C16" s="97" t="s">
        <v>478</v>
      </c>
      <c r="D16" s="206" t="s">
        <v>479</v>
      </c>
      <c r="E16" s="211">
        <v>0.042</v>
      </c>
      <c r="F16" s="212">
        <v>180.49</v>
      </c>
      <c r="G16" s="212">
        <f>TRUNC(E16*F16,2)</f>
        <v>7.58</v>
      </c>
      <c r="H16" s="213"/>
      <c r="K16" s="220"/>
      <c r="L16" s="221"/>
      <c r="M16" s="222"/>
      <c r="N16" s="223"/>
    </row>
    <row r="17" ht="63" spans="1:8">
      <c r="A17" s="206" t="s">
        <v>57</v>
      </c>
      <c r="B17" s="83" t="s">
        <v>477</v>
      </c>
      <c r="C17" s="97" t="s">
        <v>488</v>
      </c>
      <c r="D17" s="206" t="s">
        <v>479</v>
      </c>
      <c r="E17" s="211">
        <v>0.029</v>
      </c>
      <c r="F17" s="212">
        <v>176.89</v>
      </c>
      <c r="G17" s="212">
        <f>TRUNC(E17*F17,2)</f>
        <v>5.12</v>
      </c>
      <c r="H17" s="213"/>
    </row>
    <row r="18" ht="21" customHeight="1" spans="1:14">
      <c r="A18" s="209" t="s">
        <v>489</v>
      </c>
      <c r="B18" s="209"/>
      <c r="C18" s="209"/>
      <c r="D18" s="210"/>
      <c r="E18" s="210"/>
      <c r="F18" s="210"/>
      <c r="G18" s="210"/>
      <c r="L18" s="219"/>
      <c r="M18" s="219"/>
      <c r="N18" s="219"/>
    </row>
    <row r="19" ht="63" spans="1:8">
      <c r="A19" s="206" t="s">
        <v>75</v>
      </c>
      <c r="B19" s="83" t="s">
        <v>490</v>
      </c>
      <c r="C19" s="97" t="s">
        <v>491</v>
      </c>
      <c r="D19" s="206" t="s">
        <v>479</v>
      </c>
      <c r="E19" s="211">
        <v>8</v>
      </c>
      <c r="F19" s="212">
        <v>6.51</v>
      </c>
      <c r="G19" s="212">
        <f>TRUNC(E19*F19,2)</f>
        <v>52.08</v>
      </c>
      <c r="H19" s="213"/>
    </row>
    <row r="20" ht="21" customHeight="1" spans="1:14">
      <c r="A20" s="209" t="s">
        <v>492</v>
      </c>
      <c r="B20" s="209"/>
      <c r="C20" s="209"/>
      <c r="D20" s="210"/>
      <c r="E20" s="210"/>
      <c r="F20" s="210"/>
      <c r="G20" s="210"/>
      <c r="L20" s="219"/>
      <c r="M20" s="219"/>
      <c r="N20" s="219"/>
    </row>
    <row r="21" ht="37" customHeight="1" spans="1:7">
      <c r="A21" s="206" t="s">
        <v>116</v>
      </c>
      <c r="B21" s="83" t="s">
        <v>493</v>
      </c>
      <c r="C21" s="97" t="s">
        <v>494</v>
      </c>
      <c r="D21" s="206" t="s">
        <v>479</v>
      </c>
      <c r="E21" s="211">
        <v>0.1717</v>
      </c>
      <c r="F21" s="212">
        <v>14.41</v>
      </c>
      <c r="G21" s="212">
        <f>TRUNC(E21*F21,2)</f>
        <v>2.47</v>
      </c>
    </row>
    <row r="22" ht="37" customHeight="1" spans="1:7">
      <c r="A22" s="206" t="s">
        <v>119</v>
      </c>
      <c r="B22" s="83" t="s">
        <v>495</v>
      </c>
      <c r="C22" s="97" t="s">
        <v>484</v>
      </c>
      <c r="D22" s="206" t="s">
        <v>479</v>
      </c>
      <c r="E22" s="211">
        <v>0.0857</v>
      </c>
      <c r="F22" s="212">
        <v>18.45</v>
      </c>
      <c r="G22" s="212">
        <f>TRUNC(E22*F22,2)</f>
        <v>1.58</v>
      </c>
    </row>
    <row r="23" ht="37" customHeight="1" spans="1:7">
      <c r="A23" s="206" t="s">
        <v>122</v>
      </c>
      <c r="B23" s="83" t="s">
        <v>496</v>
      </c>
      <c r="C23" s="97" t="s">
        <v>497</v>
      </c>
      <c r="D23" s="206" t="s">
        <v>479</v>
      </c>
      <c r="E23" s="211">
        <v>0.0357</v>
      </c>
      <c r="F23" s="212">
        <v>17.82</v>
      </c>
      <c r="G23" s="212">
        <f>TRUNC(E23*F23,2)</f>
        <v>0.63</v>
      </c>
    </row>
    <row r="24" ht="49" customHeight="1" spans="1:13">
      <c r="A24" s="206" t="s">
        <v>125</v>
      </c>
      <c r="B24" s="83" t="s">
        <v>498</v>
      </c>
      <c r="C24" s="97" t="s">
        <v>499</v>
      </c>
      <c r="D24" s="206" t="s">
        <v>479</v>
      </c>
      <c r="E24" s="211">
        <v>0.0833</v>
      </c>
      <c r="F24" s="212">
        <v>15.11</v>
      </c>
      <c r="G24" s="212">
        <f>TRUNC(E24*F24,2)</f>
        <v>1.25</v>
      </c>
      <c r="M24" s="224"/>
    </row>
    <row r="25" ht="21" customHeight="1" spans="1:13">
      <c r="A25" s="214" t="s">
        <v>485</v>
      </c>
      <c r="B25" s="214"/>
      <c r="C25" s="214"/>
      <c r="D25" s="214"/>
      <c r="E25" s="214"/>
      <c r="F25" s="214"/>
      <c r="G25" s="215">
        <f>SUM(G16:G24)</f>
        <v>70.71</v>
      </c>
      <c r="M25" s="224"/>
    </row>
    <row r="26" ht="21" customHeight="1" spans="1:7">
      <c r="A26" s="216" t="s">
        <v>500</v>
      </c>
      <c r="B26" s="216"/>
      <c r="C26" s="216"/>
      <c r="D26" s="216"/>
      <c r="E26" s="216"/>
      <c r="F26" s="216"/>
      <c r="G26" s="215">
        <f>G25*10</f>
        <v>707.1</v>
      </c>
    </row>
    <row r="27" ht="21" customHeight="1" spans="1:7">
      <c r="A27" s="206" t="s">
        <v>471</v>
      </c>
      <c r="B27" s="206"/>
      <c r="C27" s="206"/>
      <c r="D27" s="206"/>
      <c r="E27" s="206"/>
      <c r="F27" s="206" t="s">
        <v>472</v>
      </c>
      <c r="G27" s="206" t="s">
        <v>501</v>
      </c>
    </row>
    <row r="28" ht="69" customHeight="1" spans="1:14">
      <c r="A28" s="207" t="s">
        <v>502</v>
      </c>
      <c r="B28" s="207"/>
      <c r="C28" s="208" t="s">
        <v>503</v>
      </c>
      <c r="D28" s="208"/>
      <c r="E28" s="207" t="s">
        <v>473</v>
      </c>
      <c r="F28" s="207" t="s">
        <v>474</v>
      </c>
      <c r="G28" s="207" t="s">
        <v>475</v>
      </c>
      <c r="L28" s="219"/>
      <c r="M28" s="219"/>
      <c r="N28" s="219"/>
    </row>
    <row r="29" ht="21" customHeight="1" spans="1:14">
      <c r="A29" s="209" t="s">
        <v>476</v>
      </c>
      <c r="B29" s="209"/>
      <c r="C29" s="209"/>
      <c r="D29" s="210"/>
      <c r="E29" s="210"/>
      <c r="F29" s="210"/>
      <c r="G29" s="210"/>
      <c r="L29" s="219"/>
      <c r="M29" s="219"/>
      <c r="N29" s="219"/>
    </row>
    <row r="30" ht="33" customHeight="1" spans="1:14">
      <c r="A30" s="206" t="s">
        <v>53</v>
      </c>
      <c r="B30" s="83" t="s">
        <v>504</v>
      </c>
      <c r="C30" s="217" t="s">
        <v>505</v>
      </c>
      <c r="D30" s="206" t="s">
        <v>105</v>
      </c>
      <c r="E30" s="212">
        <v>1.6</v>
      </c>
      <c r="F30" s="212">
        <v>2.49</v>
      </c>
      <c r="G30" s="212">
        <f>TRUNC(E30*F30,2)</f>
        <v>3.98</v>
      </c>
      <c r="K30" s="220"/>
      <c r="L30" s="221"/>
      <c r="M30" s="222"/>
      <c r="N30" s="223"/>
    </row>
    <row r="31" ht="21" customHeight="1" spans="1:14">
      <c r="A31" s="209" t="s">
        <v>489</v>
      </c>
      <c r="B31" s="209"/>
      <c r="C31" s="209"/>
      <c r="D31" s="210"/>
      <c r="E31" s="210"/>
      <c r="F31" s="210"/>
      <c r="G31" s="210"/>
      <c r="L31" s="219"/>
      <c r="M31" s="219"/>
      <c r="N31" s="219"/>
    </row>
    <row r="32" ht="35" customHeight="1" spans="1:7">
      <c r="A32" s="206" t="s">
        <v>75</v>
      </c>
      <c r="B32" s="83" t="s">
        <v>506</v>
      </c>
      <c r="C32" s="217" t="s">
        <v>507</v>
      </c>
      <c r="D32" s="206" t="s">
        <v>508</v>
      </c>
      <c r="E32" s="212">
        <v>400</v>
      </c>
      <c r="F32" s="212">
        <v>1.49</v>
      </c>
      <c r="G32" s="212">
        <f t="shared" ref="G32:G37" si="0">TRUNC(E32*F32,2)</f>
        <v>596</v>
      </c>
    </row>
    <row r="33" ht="35" customHeight="1" spans="1:7">
      <c r="A33" s="206" t="s">
        <v>78</v>
      </c>
      <c r="B33" s="83" t="s">
        <v>509</v>
      </c>
      <c r="C33" s="217" t="s">
        <v>510</v>
      </c>
      <c r="D33" s="206" t="s">
        <v>501</v>
      </c>
      <c r="E33" s="212">
        <v>0.8</v>
      </c>
      <c r="F33" s="212">
        <v>87.5</v>
      </c>
      <c r="G33" s="212">
        <f t="shared" si="0"/>
        <v>70</v>
      </c>
    </row>
    <row r="34" ht="35" customHeight="1" spans="1:7">
      <c r="A34" s="206" t="s">
        <v>81</v>
      </c>
      <c r="B34" s="83" t="s">
        <v>511</v>
      </c>
      <c r="C34" s="217" t="s">
        <v>512</v>
      </c>
      <c r="D34" s="206" t="s">
        <v>501</v>
      </c>
      <c r="E34" s="212">
        <v>0.7</v>
      </c>
      <c r="F34" s="212">
        <v>94.95</v>
      </c>
      <c r="G34" s="212">
        <f t="shared" si="0"/>
        <v>66.46</v>
      </c>
    </row>
    <row r="35" ht="35" customHeight="1" spans="1:7">
      <c r="A35" s="206" t="s">
        <v>84</v>
      </c>
      <c r="B35" s="83" t="s">
        <v>513</v>
      </c>
      <c r="C35" s="217" t="s">
        <v>514</v>
      </c>
      <c r="D35" s="206" t="s">
        <v>508</v>
      </c>
      <c r="E35" s="212">
        <v>150</v>
      </c>
      <c r="F35" s="212">
        <v>8.23</v>
      </c>
      <c r="G35" s="212">
        <f t="shared" si="0"/>
        <v>1234.5</v>
      </c>
    </row>
    <row r="36" ht="35" customHeight="1" spans="1:7">
      <c r="A36" s="206" t="s">
        <v>87</v>
      </c>
      <c r="B36" s="83" t="s">
        <v>515</v>
      </c>
      <c r="C36" s="217" t="s">
        <v>516</v>
      </c>
      <c r="D36" s="206" t="s">
        <v>306</v>
      </c>
      <c r="E36" s="212">
        <v>12</v>
      </c>
      <c r="F36" s="212">
        <v>39.16</v>
      </c>
      <c r="G36" s="212">
        <f t="shared" si="0"/>
        <v>469.92</v>
      </c>
    </row>
    <row r="37" ht="35" customHeight="1" spans="1:7">
      <c r="A37" s="206" t="s">
        <v>90</v>
      </c>
      <c r="B37" s="83" t="s">
        <v>517</v>
      </c>
      <c r="C37" s="217" t="s">
        <v>518</v>
      </c>
      <c r="D37" s="206" t="s">
        <v>501</v>
      </c>
      <c r="E37" s="212">
        <v>1.1</v>
      </c>
      <c r="F37" s="212">
        <v>14.39</v>
      </c>
      <c r="G37" s="212">
        <f t="shared" si="0"/>
        <v>15.82</v>
      </c>
    </row>
    <row r="38" ht="21" customHeight="1" spans="1:14">
      <c r="A38" s="209" t="s">
        <v>492</v>
      </c>
      <c r="B38" s="209"/>
      <c r="C38" s="209"/>
      <c r="D38" s="210"/>
      <c r="E38" s="210"/>
      <c r="F38" s="210"/>
      <c r="G38" s="210"/>
      <c r="L38" s="219"/>
      <c r="M38" s="219"/>
      <c r="N38" s="219"/>
    </row>
    <row r="39" ht="34" customHeight="1" spans="1:7">
      <c r="A39" s="206" t="s">
        <v>116</v>
      </c>
      <c r="B39" s="83" t="s">
        <v>493</v>
      </c>
      <c r="C39" s="97" t="s">
        <v>494</v>
      </c>
      <c r="D39" s="206" t="s">
        <v>479</v>
      </c>
      <c r="E39" s="211">
        <v>36</v>
      </c>
      <c r="F39" s="212">
        <v>14.41</v>
      </c>
      <c r="G39" s="212">
        <f>TRUNC(E39*F39,2)</f>
        <v>518.76</v>
      </c>
    </row>
    <row r="40" ht="34" customHeight="1" spans="1:7">
      <c r="A40" s="206" t="s">
        <v>119</v>
      </c>
      <c r="B40" s="83" t="s">
        <v>519</v>
      </c>
      <c r="C40" s="97" t="s">
        <v>520</v>
      </c>
      <c r="D40" s="206" t="s">
        <v>479</v>
      </c>
      <c r="E40" s="211">
        <v>3.3</v>
      </c>
      <c r="F40" s="212">
        <v>18.3</v>
      </c>
      <c r="G40" s="212">
        <f>TRUNC(E40*F40,2)</f>
        <v>60.39</v>
      </c>
    </row>
    <row r="41" ht="34" customHeight="1" spans="1:7">
      <c r="A41" s="206" t="s">
        <v>122</v>
      </c>
      <c r="B41" s="83" t="s">
        <v>521</v>
      </c>
      <c r="C41" s="97" t="s">
        <v>522</v>
      </c>
      <c r="D41" s="206" t="s">
        <v>479</v>
      </c>
      <c r="E41" s="211">
        <v>6</v>
      </c>
      <c r="F41" s="212">
        <v>18.21</v>
      </c>
      <c r="G41" s="212">
        <f>TRUNC(E41*F41,2)</f>
        <v>109.26</v>
      </c>
    </row>
    <row r="42" ht="34" customHeight="1" spans="1:13">
      <c r="A42" s="206" t="s">
        <v>125</v>
      </c>
      <c r="B42" s="83" t="s">
        <v>523</v>
      </c>
      <c r="C42" s="97" t="s">
        <v>524</v>
      </c>
      <c r="D42" s="206" t="s">
        <v>479</v>
      </c>
      <c r="E42" s="211">
        <v>24</v>
      </c>
      <c r="F42" s="212">
        <v>18.11</v>
      </c>
      <c r="G42" s="212">
        <f>TRUNC(E42*F42,2)</f>
        <v>434.64</v>
      </c>
      <c r="M42" s="224"/>
    </row>
    <row r="43" ht="21" customHeight="1" spans="1:13">
      <c r="A43" s="214" t="s">
        <v>485</v>
      </c>
      <c r="B43" s="214"/>
      <c r="C43" s="214"/>
      <c r="D43" s="214"/>
      <c r="E43" s="214"/>
      <c r="F43" s="214"/>
      <c r="G43" s="218">
        <f>SUM(G30:G42)</f>
        <v>3579.73</v>
      </c>
      <c r="M43" s="224"/>
    </row>
    <row r="44" ht="21" customHeight="1" spans="1:7">
      <c r="A44" s="206" t="s">
        <v>471</v>
      </c>
      <c r="B44" s="206"/>
      <c r="C44" s="206"/>
      <c r="D44" s="206"/>
      <c r="E44" s="206"/>
      <c r="F44" s="206" t="s">
        <v>472</v>
      </c>
      <c r="G44" s="206" t="s">
        <v>272</v>
      </c>
    </row>
    <row r="45" ht="84" customHeight="1" spans="1:14">
      <c r="A45" s="208" t="s">
        <v>525</v>
      </c>
      <c r="B45" s="208"/>
      <c r="C45" s="208" t="s">
        <v>526</v>
      </c>
      <c r="D45" s="208"/>
      <c r="E45" s="207" t="s">
        <v>473</v>
      </c>
      <c r="F45" s="207" t="s">
        <v>474</v>
      </c>
      <c r="G45" s="207" t="s">
        <v>475</v>
      </c>
      <c r="L45" s="219"/>
      <c r="M45" s="219"/>
      <c r="N45" s="219"/>
    </row>
    <row r="46" ht="21" customHeight="1" spans="1:14">
      <c r="A46" s="209" t="s">
        <v>476</v>
      </c>
      <c r="B46" s="209"/>
      <c r="C46" s="209"/>
      <c r="D46" s="210"/>
      <c r="E46" s="210"/>
      <c r="F46" s="210"/>
      <c r="G46" s="210"/>
      <c r="L46" s="219"/>
      <c r="M46" s="219"/>
      <c r="N46" s="219"/>
    </row>
    <row r="47" ht="63" spans="1:14">
      <c r="A47" s="206" t="s">
        <v>53</v>
      </c>
      <c r="B47" s="83" t="s">
        <v>527</v>
      </c>
      <c r="C47" s="97" t="s">
        <v>528</v>
      </c>
      <c r="D47" s="206" t="s">
        <v>529</v>
      </c>
      <c r="E47" s="212">
        <v>1</v>
      </c>
      <c r="F47" s="212">
        <v>2910.09</v>
      </c>
      <c r="G47" s="212">
        <f>TRUNC(E47*F47,2)</f>
        <v>2910.09</v>
      </c>
      <c r="K47" s="220"/>
      <c r="L47" s="221"/>
      <c r="M47" s="222"/>
      <c r="N47" s="223"/>
    </row>
    <row r="48" ht="21" customHeight="1" spans="1:14">
      <c r="A48" s="209" t="s">
        <v>530</v>
      </c>
      <c r="B48" s="209"/>
      <c r="C48" s="209"/>
      <c r="D48" s="210"/>
      <c r="E48" s="210"/>
      <c r="F48" s="210"/>
      <c r="G48" s="210"/>
      <c r="L48" s="219"/>
      <c r="M48" s="219"/>
      <c r="N48" s="219"/>
    </row>
    <row r="49" ht="63" spans="1:7">
      <c r="A49" s="206" t="s">
        <v>75</v>
      </c>
      <c r="B49" s="83" t="s">
        <v>531</v>
      </c>
      <c r="C49" s="97" t="s">
        <v>532</v>
      </c>
      <c r="D49" s="206" t="s">
        <v>207</v>
      </c>
      <c r="E49" s="212">
        <v>60</v>
      </c>
      <c r="F49" s="212">
        <v>3.96</v>
      </c>
      <c r="G49" s="212">
        <f t="shared" ref="G49:G54" si="1">TRUNC(E49*F49,2)</f>
        <v>237.6</v>
      </c>
    </row>
    <row r="50" ht="39" customHeight="1" spans="1:7">
      <c r="A50" s="206" t="s">
        <v>78</v>
      </c>
      <c r="B50" s="83" t="s">
        <v>533</v>
      </c>
      <c r="C50" s="217" t="s">
        <v>534</v>
      </c>
      <c r="D50" s="206" t="s">
        <v>207</v>
      </c>
      <c r="E50" s="212">
        <v>20</v>
      </c>
      <c r="F50" s="212">
        <v>5.78</v>
      </c>
      <c r="G50" s="212">
        <f t="shared" si="1"/>
        <v>115.6</v>
      </c>
    </row>
    <row r="51" ht="39" customHeight="1" spans="1:7">
      <c r="A51" s="206" t="s">
        <v>81</v>
      </c>
      <c r="B51" s="83" t="s">
        <v>535</v>
      </c>
      <c r="C51" s="97" t="s">
        <v>536</v>
      </c>
      <c r="D51" s="206" t="s">
        <v>537</v>
      </c>
      <c r="E51" s="212">
        <v>1</v>
      </c>
      <c r="F51" s="212">
        <v>11.4</v>
      </c>
      <c r="G51" s="212">
        <f t="shared" si="1"/>
        <v>11.4</v>
      </c>
    </row>
    <row r="52" ht="39" customHeight="1" spans="1:7">
      <c r="A52" s="206" t="s">
        <v>84</v>
      </c>
      <c r="B52" s="83" t="s">
        <v>538</v>
      </c>
      <c r="C52" s="217" t="s">
        <v>539</v>
      </c>
      <c r="D52" s="206" t="s">
        <v>207</v>
      </c>
      <c r="E52" s="212">
        <v>10</v>
      </c>
      <c r="F52" s="212">
        <v>40.59</v>
      </c>
      <c r="G52" s="212">
        <f t="shared" si="1"/>
        <v>405.9</v>
      </c>
    </row>
    <row r="53" ht="39" customHeight="1" spans="1:7">
      <c r="A53" s="206" t="s">
        <v>87</v>
      </c>
      <c r="B53" s="83" t="s">
        <v>540</v>
      </c>
      <c r="C53" s="97" t="s">
        <v>541</v>
      </c>
      <c r="D53" s="206" t="s">
        <v>537</v>
      </c>
      <c r="E53" s="212">
        <v>2</v>
      </c>
      <c r="F53" s="212">
        <v>30.85</v>
      </c>
      <c r="G53" s="212">
        <f t="shared" si="1"/>
        <v>61.7</v>
      </c>
    </row>
    <row r="54" ht="39" customHeight="1" spans="1:7">
      <c r="A54" s="206" t="s">
        <v>90</v>
      </c>
      <c r="B54" s="83" t="s">
        <v>542</v>
      </c>
      <c r="C54" s="217" t="s">
        <v>543</v>
      </c>
      <c r="D54" s="206" t="s">
        <v>537</v>
      </c>
      <c r="E54" s="212">
        <v>1</v>
      </c>
      <c r="F54" s="212">
        <v>74.99</v>
      </c>
      <c r="G54" s="212">
        <f t="shared" si="1"/>
        <v>74.99</v>
      </c>
    </row>
    <row r="55" ht="21" customHeight="1" spans="1:14">
      <c r="A55" s="209" t="s">
        <v>492</v>
      </c>
      <c r="B55" s="209"/>
      <c r="C55" s="209"/>
      <c r="D55" s="210"/>
      <c r="E55" s="210"/>
      <c r="F55" s="210"/>
      <c r="G55" s="210"/>
      <c r="L55" s="219"/>
      <c r="M55" s="219"/>
      <c r="N55" s="219"/>
    </row>
    <row r="56" ht="40" customHeight="1" spans="1:7">
      <c r="A56" s="206" t="s">
        <v>116</v>
      </c>
      <c r="B56" s="83" t="s">
        <v>544</v>
      </c>
      <c r="C56" s="97" t="s">
        <v>545</v>
      </c>
      <c r="D56" s="206" t="s">
        <v>479</v>
      </c>
      <c r="E56" s="211">
        <v>3.5</v>
      </c>
      <c r="F56" s="212">
        <v>14.35</v>
      </c>
      <c r="G56" s="212">
        <f>TRUNC(E56*F56,2)</f>
        <v>50.22</v>
      </c>
    </row>
    <row r="57" ht="40" customHeight="1" spans="1:7">
      <c r="A57" s="206" t="s">
        <v>119</v>
      </c>
      <c r="B57" s="83" t="s">
        <v>495</v>
      </c>
      <c r="C57" s="97" t="s">
        <v>484</v>
      </c>
      <c r="D57" s="206" t="s">
        <v>479</v>
      </c>
      <c r="E57" s="211">
        <v>3</v>
      </c>
      <c r="F57" s="212">
        <v>18.45</v>
      </c>
      <c r="G57" s="212">
        <f>TRUNC(E57*F57,2)</f>
        <v>55.35</v>
      </c>
    </row>
    <row r="58" ht="40" customHeight="1" spans="1:7">
      <c r="A58" s="206" t="s">
        <v>122</v>
      </c>
      <c r="B58" s="83" t="s">
        <v>546</v>
      </c>
      <c r="C58" s="97" t="s">
        <v>547</v>
      </c>
      <c r="D58" s="206" t="s">
        <v>479</v>
      </c>
      <c r="E58" s="211">
        <v>3.5</v>
      </c>
      <c r="F58" s="212">
        <v>13.84</v>
      </c>
      <c r="G58" s="212">
        <f>TRUNC(E58*F58,2)</f>
        <v>48.44</v>
      </c>
    </row>
    <row r="59" ht="40" customHeight="1" spans="1:13">
      <c r="A59" s="206" t="s">
        <v>125</v>
      </c>
      <c r="B59" s="83" t="s">
        <v>496</v>
      </c>
      <c r="C59" s="97" t="s">
        <v>548</v>
      </c>
      <c r="D59" s="206" t="s">
        <v>479</v>
      </c>
      <c r="E59" s="211">
        <v>3</v>
      </c>
      <c r="F59" s="212">
        <v>17.82</v>
      </c>
      <c r="G59" s="212">
        <f>TRUNC(E59*F59,2)</f>
        <v>53.46</v>
      </c>
      <c r="M59" s="224"/>
    </row>
    <row r="60" ht="21" customHeight="1" spans="1:13">
      <c r="A60" s="214" t="s">
        <v>485</v>
      </c>
      <c r="B60" s="214"/>
      <c r="C60" s="214"/>
      <c r="D60" s="214"/>
      <c r="E60" s="214"/>
      <c r="F60" s="214"/>
      <c r="G60" s="218">
        <f>SUM(G47:G59)</f>
        <v>4024.75</v>
      </c>
      <c r="M60" s="224"/>
    </row>
  </sheetData>
  <mergeCells count="32">
    <mergeCell ref="A1:G1"/>
    <mergeCell ref="A2:G2"/>
    <mergeCell ref="B3:F3"/>
    <mergeCell ref="B4:G4"/>
    <mergeCell ref="A5:E5"/>
    <mergeCell ref="A6:B6"/>
    <mergeCell ref="C6:D6"/>
    <mergeCell ref="A7:C7"/>
    <mergeCell ref="A9:C9"/>
    <mergeCell ref="A12:F12"/>
    <mergeCell ref="A13:E13"/>
    <mergeCell ref="A14:B14"/>
    <mergeCell ref="C14:D14"/>
    <mergeCell ref="A15:C15"/>
    <mergeCell ref="A18:C18"/>
    <mergeCell ref="A20:C20"/>
    <mergeCell ref="A25:F25"/>
    <mergeCell ref="A26:F26"/>
    <mergeCell ref="A27:E27"/>
    <mergeCell ref="A28:B28"/>
    <mergeCell ref="C28:D28"/>
    <mergeCell ref="A29:C29"/>
    <mergeCell ref="A31:C31"/>
    <mergeCell ref="A38:C38"/>
    <mergeCell ref="A43:F43"/>
    <mergeCell ref="A44:E44"/>
    <mergeCell ref="A45:B45"/>
    <mergeCell ref="C45:D45"/>
    <mergeCell ref="A46:C46"/>
    <mergeCell ref="A48:C48"/>
    <mergeCell ref="A55:C55"/>
    <mergeCell ref="A60:F60"/>
  </mergeCells>
  <conditionalFormatting sqref="A12">
    <cfRule type="expression" dxfId="0" priority="2">
      <formula>AND(#REF!&lt;&gt;"COMPOSICAO",#REF!&lt;&gt;"INSUMO",#REF!&lt;&gt;"")</formula>
    </cfRule>
    <cfRule type="expression" dxfId="1" priority="3">
      <formula>AND(OR(#REF!="COMPOSICAO",#REF!="INSUMO",#REF!&lt;&gt;""),#REF!&lt;&gt;"")</formula>
    </cfRule>
  </conditionalFormatting>
  <conditionalFormatting sqref="G12">
    <cfRule type="expression" dxfId="0" priority="4">
      <formula>AND(#REF!&lt;&gt;"COMPOSICAO",#REF!&lt;&gt;"INSUMO",#REF!&lt;&gt;"")</formula>
    </cfRule>
    <cfRule type="expression" dxfId="1" priority="5">
      <formula>AND(OR(#REF!="COMPOSICAO",#REF!="INSUMO",#REF!&lt;&gt;""),#REF!&lt;&gt;"")</formula>
    </cfRule>
  </conditionalFormatting>
  <conditionalFormatting sqref="A25">
    <cfRule type="expression" dxfId="0" priority="6">
      <formula>AND(#REF!&lt;&gt;"COMPOSICAO",#REF!&lt;&gt;"INSUMO",#REF!&lt;&gt;"")</formula>
    </cfRule>
    <cfRule type="expression" dxfId="1" priority="7">
      <formula>AND(OR(#REF!="COMPOSICAO",#REF!="INSUMO",#REF!&lt;&gt;""),#REF!&lt;&gt;"")</formula>
    </cfRule>
  </conditionalFormatting>
  <conditionalFormatting sqref="G25">
    <cfRule type="expression" dxfId="0" priority="8">
      <formula>AND(#REF!&lt;&gt;"COMPOSICAO",#REF!&lt;&gt;"INSUMO",#REF!&lt;&gt;"")</formula>
    </cfRule>
    <cfRule type="expression" dxfId="1" priority="9">
      <formula>AND(OR(#REF!="COMPOSICAO",#REF!="INSUMO",#REF!&lt;&gt;""),#REF!&lt;&gt;"")</formula>
    </cfRule>
  </conditionalFormatting>
  <conditionalFormatting sqref="A26">
    <cfRule type="expression" dxfId="0" priority="10">
      <formula>AND(#REF!&lt;&gt;"COMPOSICAO",#REF!&lt;&gt;"INSUMO",#REF!&lt;&gt;"")</formula>
    </cfRule>
    <cfRule type="expression" dxfId="1" priority="11">
      <formula>AND(OR(#REF!="COMPOSICAO",#REF!="INSUMO",#REF!&lt;&gt;""),#REF!&lt;&gt;"")</formula>
    </cfRule>
  </conditionalFormatting>
  <conditionalFormatting sqref="G26">
    <cfRule type="expression" dxfId="0" priority="12">
      <formula>AND(#REF!&lt;&gt;"COMPOSICAO",#REF!&lt;&gt;"INSUMO",#REF!&lt;&gt;"")</formula>
    </cfRule>
    <cfRule type="expression" dxfId="1" priority="13">
      <formula>AND(OR(#REF!="COMPOSICAO",#REF!="INSUMO",#REF!&lt;&gt;""),#REF!&lt;&gt;"")</formula>
    </cfRule>
  </conditionalFormatting>
  <conditionalFormatting sqref="A43">
    <cfRule type="expression" dxfId="0" priority="14">
      <formula>AND(#REF!&lt;&gt;"COMPOSICAO",#REF!&lt;&gt;"INSUMO",#REF!&lt;&gt;"")</formula>
    </cfRule>
    <cfRule type="expression" dxfId="1" priority="15">
      <formula>AND(OR(#REF!="COMPOSICAO",#REF!="INSUMO",#REF!&lt;&gt;""),#REF!&lt;&gt;"")</formula>
    </cfRule>
  </conditionalFormatting>
  <conditionalFormatting sqref="G43">
    <cfRule type="expression" dxfId="0" priority="16">
      <formula>AND(#REF!&lt;&gt;"COMPOSICAO",#REF!&lt;&gt;"INSUMO",#REF!&lt;&gt;"")</formula>
    </cfRule>
    <cfRule type="expression" dxfId="1" priority="17">
      <formula>AND(OR(#REF!="COMPOSICAO",#REF!="INSUMO",#REF!&lt;&gt;""),#REF!&lt;&gt;"")</formula>
    </cfRule>
  </conditionalFormatting>
  <conditionalFormatting sqref="A60">
    <cfRule type="expression" dxfId="0" priority="18">
      <formula>AND(#REF!&lt;&gt;"COMPOSICAO",#REF!&lt;&gt;"INSUMO",#REF!&lt;&gt;"")</formula>
    </cfRule>
    <cfRule type="expression" dxfId="1" priority="19">
      <formula>AND(OR(#REF!="COMPOSICAO",#REF!="INSUMO",#REF!&lt;&gt;""),#REF!&lt;&gt;"")</formula>
    </cfRule>
  </conditionalFormatting>
  <conditionalFormatting sqref="G60">
    <cfRule type="expression" dxfId="0" priority="20">
      <formula>AND(#REF!&lt;&gt;"COMPOSICAO",#REF!&lt;&gt;"INSUMO",#REF!&lt;&gt;"")</formula>
    </cfRule>
    <cfRule type="expression" dxfId="1" priority="21">
      <formula>AND(OR(#REF!="COMPOSICAO",#REF!="INSUMO",#REF!&lt;&gt;""),#REF!&lt;&gt;"")</formula>
    </cfRule>
  </conditionalFormatting>
  <printOptions horizontalCentered="1"/>
  <pageMargins left="0" right="0" top="0" bottom="0" header="0" footer="0"/>
  <pageSetup paperSize="9" scale="57" firstPageNumber="0" orientation="portrait" useFirstPageNumber="1" horizontalDpi="300" verticalDpi="300"/>
  <headerFooter/>
  <rowBreaks count="1" manualBreakCount="1">
    <brk id="27" max="16383" man="1"/>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5"/>
  <sheetViews>
    <sheetView tabSelected="1" view="pageBreakPreview" zoomScaleNormal="100" topLeftCell="A46" workbookViewId="0">
      <selection activeCell="A54" sqref="A54"/>
    </sheetView>
  </sheetViews>
  <sheetFormatPr defaultColWidth="10.6444444444444" defaultRowHeight="15.75"/>
  <cols>
    <col min="1" max="1" width="15.1555555555556" style="128" customWidth="1"/>
    <col min="2" max="2" width="69.1555555555556" style="128" customWidth="1"/>
    <col min="3" max="4" width="44.6666666666667" style="128" customWidth="1"/>
    <col min="5" max="5" width="25.4888888888889" style="128" customWidth="1"/>
    <col min="6" max="6" width="10.6555555555556" style="128"/>
    <col min="7" max="8" width="15.8555555555556" style="128" hidden="1" customWidth="1"/>
    <col min="9" max="9" width="16.3444444444444" style="128" hidden="1" customWidth="1"/>
    <col min="10" max="10" width="10.6555555555556" style="128" hidden="1"/>
    <col min="11" max="11" width="12.3444444444444" style="128" hidden="1" customWidth="1"/>
    <col min="12" max="13" width="11.0222222222222" style="128" customWidth="1"/>
    <col min="14" max="14" width="13" style="128" customWidth="1"/>
    <col min="15" max="1025" width="10.6555555555556" style="128"/>
  </cols>
  <sheetData>
    <row r="1" ht="81" customHeight="1" spans="1:5">
      <c r="A1" s="129" t="s">
        <v>0</v>
      </c>
      <c r="B1" s="129"/>
      <c r="C1" s="129"/>
      <c r="D1" s="129"/>
      <c r="E1" s="129"/>
    </row>
    <row r="2" spans="1:5">
      <c r="A2" s="130" t="s">
        <v>549</v>
      </c>
      <c r="B2" s="130"/>
      <c r="C2" s="130"/>
      <c r="D2" s="130"/>
      <c r="E2" s="130"/>
    </row>
    <row r="3" ht="26.25" customHeight="1" spans="1:5">
      <c r="A3" s="130" t="s">
        <v>550</v>
      </c>
      <c r="B3" s="130"/>
      <c r="C3" s="130"/>
      <c r="D3" s="130"/>
      <c r="E3" s="130"/>
    </row>
    <row r="4" ht="65" customHeight="1" spans="1:5">
      <c r="A4" s="131" t="s">
        <v>551</v>
      </c>
      <c r="B4" s="132" t="s">
        <v>4</v>
      </c>
      <c r="C4" s="132"/>
      <c r="D4" s="132"/>
      <c r="E4" s="132"/>
    </row>
    <row r="5" s="127" customFormat="1" customHeight="1" spans="1:5">
      <c r="A5" s="133" t="s">
        <v>552</v>
      </c>
      <c r="B5" s="133"/>
      <c r="C5" s="133"/>
      <c r="D5" s="134" t="s">
        <v>553</v>
      </c>
      <c r="E5" s="135" t="s">
        <v>554</v>
      </c>
    </row>
    <row r="6" s="127" customFormat="1" ht="28.5" customHeight="1" spans="1:5">
      <c r="A6" s="133"/>
      <c r="B6" s="133"/>
      <c r="C6" s="133"/>
      <c r="D6" s="134"/>
      <c r="E6" s="135"/>
    </row>
    <row r="7" customHeight="1" spans="1:5">
      <c r="A7" s="136" t="s">
        <v>555</v>
      </c>
      <c r="B7" s="136"/>
      <c r="C7" s="137" t="s">
        <v>556</v>
      </c>
      <c r="D7" s="137" t="s">
        <v>557</v>
      </c>
      <c r="E7" s="73" t="s">
        <v>558</v>
      </c>
    </row>
    <row r="8" ht="127" customHeight="1" spans="1:11">
      <c r="A8" s="136" t="s">
        <v>559</v>
      </c>
      <c r="B8" s="136"/>
      <c r="C8" s="84" t="s">
        <v>560</v>
      </c>
      <c r="D8" s="84" t="s">
        <v>561</v>
      </c>
      <c r="E8" s="73"/>
      <c r="G8" s="138" t="s">
        <v>562</v>
      </c>
      <c r="H8" s="138"/>
      <c r="I8" s="138"/>
      <c r="J8" s="138"/>
      <c r="K8" s="138"/>
    </row>
    <row r="9" ht="31.5" spans="1:11">
      <c r="A9" s="139" t="s">
        <v>563</v>
      </c>
      <c r="B9" s="140" t="s">
        <v>564</v>
      </c>
      <c r="C9" s="141" t="s">
        <v>565</v>
      </c>
      <c r="D9" s="141" t="s">
        <v>566</v>
      </c>
      <c r="E9" s="141"/>
      <c r="G9" s="142"/>
      <c r="H9" s="143"/>
      <c r="I9" s="188"/>
      <c r="J9" s="188"/>
      <c r="K9" s="189"/>
    </row>
    <row r="10" spans="1:12">
      <c r="A10" s="111" t="s">
        <v>567</v>
      </c>
      <c r="B10" s="144" t="s">
        <v>568</v>
      </c>
      <c r="C10" s="145">
        <v>381085.59</v>
      </c>
      <c r="D10" s="146">
        <v>188694.18</v>
      </c>
      <c r="E10" s="145">
        <f>C10+D10</f>
        <v>569779.77</v>
      </c>
      <c r="F10" s="147"/>
      <c r="G10" s="148">
        <v>1</v>
      </c>
      <c r="H10" s="148"/>
      <c r="I10" s="148"/>
      <c r="J10" s="148"/>
      <c r="K10" s="148"/>
      <c r="L10" s="159"/>
    </row>
    <row r="11" spans="1:12">
      <c r="A11" s="111" t="s">
        <v>569</v>
      </c>
      <c r="B11" s="144" t="s">
        <v>570</v>
      </c>
      <c r="C11" s="149">
        <v>60</v>
      </c>
      <c r="D11" s="150">
        <v>120</v>
      </c>
      <c r="E11" s="148"/>
      <c r="F11" s="151"/>
      <c r="G11" s="152"/>
      <c r="H11" s="152"/>
      <c r="I11" s="152"/>
      <c r="J11" s="152"/>
      <c r="K11" s="152"/>
      <c r="L11" s="190"/>
    </row>
    <row r="12" ht="31.5" spans="1:11">
      <c r="A12" s="111" t="s">
        <v>571</v>
      </c>
      <c r="B12" s="84" t="s">
        <v>572</v>
      </c>
      <c r="C12" s="153">
        <v>0.2</v>
      </c>
      <c r="D12" s="154">
        <v>0.1</v>
      </c>
      <c r="E12" s="148"/>
      <c r="G12" s="148">
        <v>3</v>
      </c>
      <c r="H12" s="148"/>
      <c r="I12" s="150">
        <v>4571.36</v>
      </c>
      <c r="J12" s="148"/>
      <c r="K12" s="150">
        <v>2581.08</v>
      </c>
    </row>
    <row r="13" spans="1:11">
      <c r="A13" s="111" t="s">
        <v>573</v>
      </c>
      <c r="B13" s="144" t="s">
        <v>574</v>
      </c>
      <c r="C13" s="155">
        <v>12</v>
      </c>
      <c r="D13" s="150">
        <v>12</v>
      </c>
      <c r="E13" s="148"/>
      <c r="G13" s="148">
        <v>4</v>
      </c>
      <c r="H13" s="148"/>
      <c r="I13" s="150">
        <v>1512.16</v>
      </c>
      <c r="J13" s="148"/>
      <c r="K13" s="150">
        <v>853.79</v>
      </c>
    </row>
    <row r="14" spans="1:11">
      <c r="A14" s="156" t="s">
        <v>575</v>
      </c>
      <c r="B14" s="157" t="s">
        <v>576</v>
      </c>
      <c r="C14" s="158">
        <f>ROUND((C10/C11)-((C10*C12)/C11),2)</f>
        <v>5081.14</v>
      </c>
      <c r="D14" s="158">
        <f>ROUND((D10/D11)-((D10*D12)/D11),2)</f>
        <v>1415.21</v>
      </c>
      <c r="E14" s="158">
        <f>C14+D14</f>
        <v>6496.35</v>
      </c>
      <c r="F14" s="159"/>
      <c r="G14" s="148">
        <v>5</v>
      </c>
      <c r="H14" s="148"/>
      <c r="I14" s="150">
        <v>1345.07</v>
      </c>
      <c r="J14" s="148"/>
      <c r="K14" s="150">
        <v>759.45</v>
      </c>
    </row>
    <row r="15" ht="8" customHeight="1" spans="1:11">
      <c r="A15" s="111"/>
      <c r="B15" s="160"/>
      <c r="C15" s="148"/>
      <c r="D15" s="148"/>
      <c r="E15" s="158">
        <f>C15+D15</f>
        <v>0</v>
      </c>
      <c r="F15" s="159"/>
      <c r="G15" s="148">
        <v>6</v>
      </c>
      <c r="H15" s="148"/>
      <c r="I15" s="150">
        <v>1177.74</v>
      </c>
      <c r="J15" s="148"/>
      <c r="K15" s="150">
        <v>664.98</v>
      </c>
    </row>
    <row r="16" spans="1:11">
      <c r="A16" s="161" t="s">
        <v>577</v>
      </c>
      <c r="B16" s="162" t="s">
        <v>578</v>
      </c>
      <c r="C16" s="162"/>
      <c r="D16" s="162"/>
      <c r="E16" s="162"/>
      <c r="F16" s="159"/>
      <c r="G16" s="148">
        <v>7</v>
      </c>
      <c r="H16" s="148"/>
      <c r="I16" s="150">
        <v>1010.19</v>
      </c>
      <c r="J16" s="148"/>
      <c r="K16" s="150">
        <v>570.37</v>
      </c>
    </row>
    <row r="17" ht="31.5" spans="1:11">
      <c r="A17" s="111" t="s">
        <v>579</v>
      </c>
      <c r="B17" s="163" t="s">
        <v>580</v>
      </c>
      <c r="C17" s="153">
        <v>0.0034</v>
      </c>
      <c r="D17" s="153">
        <v>0.0034</v>
      </c>
      <c r="E17" s="153">
        <v>0.0034</v>
      </c>
      <c r="F17" s="159"/>
      <c r="G17" s="148">
        <v>9</v>
      </c>
      <c r="H17" s="148"/>
      <c r="I17" s="150">
        <v>674.4</v>
      </c>
      <c r="J17" s="148"/>
      <c r="K17" s="150">
        <v>380.78</v>
      </c>
    </row>
    <row r="18" spans="1:11">
      <c r="A18" s="111" t="s">
        <v>581</v>
      </c>
      <c r="B18" s="160" t="s">
        <v>582</v>
      </c>
      <c r="C18" s="164">
        <v>1046.26</v>
      </c>
      <c r="D18" s="164">
        <f>ROUND(D10*D17,2)</f>
        <v>641.56</v>
      </c>
      <c r="E18" s="158">
        <f>C18+D18</f>
        <v>1687.82</v>
      </c>
      <c r="F18" s="159"/>
      <c r="G18" s="148">
        <v>10</v>
      </c>
      <c r="H18" s="148"/>
      <c r="I18" s="150">
        <v>506.16</v>
      </c>
      <c r="J18" s="148"/>
      <c r="K18" s="150">
        <v>285.78</v>
      </c>
    </row>
    <row r="19" ht="7" customHeight="1" spans="1:11">
      <c r="A19" s="111"/>
      <c r="B19" s="160"/>
      <c r="C19" s="148"/>
      <c r="D19" s="148"/>
      <c r="E19" s="158">
        <f>C19+D19</f>
        <v>0</v>
      </c>
      <c r="F19" s="159"/>
      <c r="G19" s="148">
        <v>11</v>
      </c>
      <c r="H19" s="148"/>
      <c r="I19" s="150">
        <v>337.67</v>
      </c>
      <c r="J19" s="148"/>
      <c r="K19" s="150">
        <v>190.66</v>
      </c>
    </row>
    <row r="20" spans="1:11">
      <c r="A20" s="161" t="s">
        <v>583</v>
      </c>
      <c r="B20" s="162" t="s">
        <v>584</v>
      </c>
      <c r="C20" s="162"/>
      <c r="D20" s="162"/>
      <c r="E20" s="162"/>
      <c r="F20" s="159"/>
      <c r="G20" s="148">
        <v>12</v>
      </c>
      <c r="H20" s="148"/>
      <c r="I20" s="150">
        <v>168.96</v>
      </c>
      <c r="J20" s="148"/>
      <c r="K20" s="150">
        <v>95.4</v>
      </c>
    </row>
    <row r="21" ht="31.5" hidden="1" spans="1:14">
      <c r="A21" s="157"/>
      <c r="B21" s="163" t="s">
        <v>585</v>
      </c>
      <c r="C21" s="150">
        <v>0</v>
      </c>
      <c r="D21" s="150">
        <v>0</v>
      </c>
      <c r="E21" s="165">
        <v>0</v>
      </c>
      <c r="F21" s="159"/>
      <c r="G21" s="166" t="s">
        <v>586</v>
      </c>
      <c r="H21" s="166"/>
      <c r="I21" s="150">
        <v>191758.22</v>
      </c>
      <c r="J21" s="148"/>
      <c r="K21" s="150">
        <v>108270.21</v>
      </c>
      <c r="L21" s="159">
        <v>894.684</v>
      </c>
      <c r="M21" s="159">
        <f>D14*0.2</f>
        <v>283.042</v>
      </c>
      <c r="N21" s="159">
        <f>L21+M21</f>
        <v>1177.726</v>
      </c>
    </row>
    <row r="22" spans="1:11">
      <c r="A22" s="111" t="s">
        <v>587</v>
      </c>
      <c r="B22" s="160" t="s">
        <v>588</v>
      </c>
      <c r="C22" s="155">
        <f>C10*(3-1.77)%</f>
        <v>4687.352757</v>
      </c>
      <c r="D22" s="155">
        <f>D10*(3-1.77)%</f>
        <v>2320.938414</v>
      </c>
      <c r="E22" s="158">
        <f>C22+D22</f>
        <v>7008.291171</v>
      </c>
      <c r="F22" s="159"/>
      <c r="G22" s="166" t="s">
        <v>589</v>
      </c>
      <c r="H22" s="166"/>
      <c r="I22" s="154" t="e">
        <f>#REF!/I21</f>
        <v>#REF!</v>
      </c>
      <c r="J22" s="154"/>
      <c r="K22" s="154" t="e">
        <f>#REF!/K21</f>
        <v>#REF!</v>
      </c>
    </row>
    <row r="23" spans="1:11">
      <c r="A23" s="111" t="s">
        <v>590</v>
      </c>
      <c r="B23" s="160" t="s">
        <v>591</v>
      </c>
      <c r="C23" s="155">
        <f>ROUND(C10*0.01,2)</f>
        <v>3810.86</v>
      </c>
      <c r="D23" s="155">
        <f>ROUND(D10*0.01,2)</f>
        <v>1886.94</v>
      </c>
      <c r="E23" s="158">
        <f>C23+D23</f>
        <v>5697.8</v>
      </c>
      <c r="F23" s="159"/>
      <c r="G23" s="148"/>
      <c r="H23" s="148"/>
      <c r="I23" s="154" t="e">
        <f>I22/#REF!</f>
        <v>#REF!</v>
      </c>
      <c r="J23" s="154"/>
      <c r="K23" s="154" t="e">
        <f>K22/#REF!</f>
        <v>#REF!</v>
      </c>
    </row>
    <row r="24" spans="1:6">
      <c r="A24" s="111" t="s">
        <v>592</v>
      </c>
      <c r="B24" s="160" t="s">
        <v>593</v>
      </c>
      <c r="C24" s="155"/>
      <c r="D24" s="155"/>
      <c r="E24" s="158">
        <f>C24+D24</f>
        <v>0</v>
      </c>
      <c r="F24" s="159"/>
    </row>
    <row r="25" spans="1:8">
      <c r="A25" s="156" t="s">
        <v>594</v>
      </c>
      <c r="B25" s="157" t="s">
        <v>595</v>
      </c>
      <c r="C25" s="164">
        <f>SUM(C22:C24)</f>
        <v>8498.212757</v>
      </c>
      <c r="D25" s="164">
        <f>SUM(D22:D24)</f>
        <v>4207.878414</v>
      </c>
      <c r="E25" s="158">
        <f>SUM(E21:E24)</f>
        <v>12706.091171</v>
      </c>
      <c r="F25" s="159"/>
      <c r="G25" s="159"/>
      <c r="H25" s="159"/>
    </row>
    <row r="26" ht="7" customHeight="1" spans="1:6">
      <c r="A26" s="111"/>
      <c r="B26" s="160"/>
      <c r="C26" s="148"/>
      <c r="D26" s="148"/>
      <c r="E26" s="158">
        <f>C26+D26</f>
        <v>0</v>
      </c>
      <c r="F26" s="159"/>
    </row>
    <row r="27" spans="1:6">
      <c r="A27" s="161" t="s">
        <v>596</v>
      </c>
      <c r="B27" s="162" t="s">
        <v>597</v>
      </c>
      <c r="C27" s="162"/>
      <c r="D27" s="162"/>
      <c r="E27" s="162"/>
      <c r="F27" s="159"/>
    </row>
    <row r="28" spans="1:6">
      <c r="A28" s="111" t="s">
        <v>598</v>
      </c>
      <c r="B28" s="144" t="s">
        <v>599</v>
      </c>
      <c r="C28" s="167">
        <v>3.699</v>
      </c>
      <c r="D28" s="168">
        <v>0</v>
      </c>
      <c r="E28" s="158">
        <f t="shared" ref="E28:E33" si="0">C28+D28</f>
        <v>3.699</v>
      </c>
      <c r="F28" s="159"/>
    </row>
    <row r="29" spans="1:6">
      <c r="A29" s="111" t="s">
        <v>600</v>
      </c>
      <c r="B29" s="160" t="s">
        <v>601</v>
      </c>
      <c r="C29" s="169">
        <f>SUM(C13)</f>
        <v>12</v>
      </c>
      <c r="D29" s="168">
        <v>0</v>
      </c>
      <c r="E29" s="158">
        <f t="shared" si="0"/>
        <v>12</v>
      </c>
      <c r="F29" s="159"/>
    </row>
    <row r="30" spans="1:6">
      <c r="A30" s="111" t="s">
        <v>602</v>
      </c>
      <c r="B30" s="144" t="s">
        <v>603</v>
      </c>
      <c r="C30" s="167">
        <v>5</v>
      </c>
      <c r="D30" s="168">
        <v>0</v>
      </c>
      <c r="E30" s="158">
        <f t="shared" si="0"/>
        <v>5</v>
      </c>
      <c r="F30" s="159"/>
    </row>
    <row r="31" spans="1:6">
      <c r="A31" s="111" t="s">
        <v>604</v>
      </c>
      <c r="B31" s="144" t="s">
        <v>605</v>
      </c>
      <c r="C31" s="170">
        <f>25</f>
        <v>25</v>
      </c>
      <c r="D31" s="168">
        <v>0</v>
      </c>
      <c r="E31" s="158">
        <f t="shared" si="0"/>
        <v>25</v>
      </c>
      <c r="F31" s="159"/>
    </row>
    <row r="32" spans="1:6">
      <c r="A32" s="156" t="s">
        <v>606</v>
      </c>
      <c r="B32" s="157" t="s">
        <v>607</v>
      </c>
      <c r="C32" s="171">
        <f>ROUND((C31/C30)*C28,2)</f>
        <v>18.5</v>
      </c>
      <c r="D32" s="165">
        <f>SUM(D28:D31)</f>
        <v>0</v>
      </c>
      <c r="E32" s="158">
        <f t="shared" si="0"/>
        <v>18.5</v>
      </c>
      <c r="F32" s="159"/>
    </row>
    <row r="33" ht="7" customHeight="1" spans="1:6">
      <c r="A33" s="156"/>
      <c r="B33" s="157"/>
      <c r="C33" s="148"/>
      <c r="D33" s="148"/>
      <c r="E33" s="158">
        <f t="shared" si="0"/>
        <v>0</v>
      </c>
      <c r="F33" s="159"/>
    </row>
    <row r="34" spans="1:6">
      <c r="A34" s="161" t="s">
        <v>608</v>
      </c>
      <c r="B34" s="162" t="s">
        <v>609</v>
      </c>
      <c r="C34" s="162"/>
      <c r="D34" s="162"/>
      <c r="E34" s="162"/>
      <c r="F34" s="159"/>
    </row>
    <row r="35" spans="1:6">
      <c r="A35" s="111" t="s">
        <v>610</v>
      </c>
      <c r="B35" s="160" t="s">
        <v>611</v>
      </c>
      <c r="C35" s="170">
        <v>10000</v>
      </c>
      <c r="D35" s="168">
        <v>0</v>
      </c>
      <c r="E35" s="158">
        <f t="shared" ref="E35:E41" si="1">C35+D35</f>
        <v>10000</v>
      </c>
      <c r="F35" s="159"/>
    </row>
    <row r="36" spans="1:6">
      <c r="A36" s="111" t="s">
        <v>612</v>
      </c>
      <c r="B36" s="160" t="s">
        <v>613</v>
      </c>
      <c r="C36" s="170">
        <v>22</v>
      </c>
      <c r="D36" s="168">
        <v>0</v>
      </c>
      <c r="E36" s="158">
        <f t="shared" si="1"/>
        <v>22</v>
      </c>
      <c r="F36" s="159"/>
    </row>
    <row r="37" spans="1:6">
      <c r="A37" s="111" t="s">
        <v>614</v>
      </c>
      <c r="B37" s="160" t="s">
        <v>615</v>
      </c>
      <c r="C37" s="170">
        <v>31</v>
      </c>
      <c r="D37" s="168">
        <v>0</v>
      </c>
      <c r="E37" s="158">
        <f t="shared" si="1"/>
        <v>31</v>
      </c>
      <c r="F37" s="159"/>
    </row>
    <row r="38" spans="1:6">
      <c r="A38" s="111" t="s">
        <v>616</v>
      </c>
      <c r="B38" s="160" t="s">
        <v>617</v>
      </c>
      <c r="C38" s="170">
        <v>5</v>
      </c>
      <c r="D38" s="168">
        <v>0</v>
      </c>
      <c r="E38" s="158">
        <f t="shared" si="1"/>
        <v>5</v>
      </c>
      <c r="F38" s="159"/>
    </row>
    <row r="39" spans="1:6">
      <c r="A39" s="111" t="s">
        <v>618</v>
      </c>
      <c r="B39" s="160" t="s">
        <v>619</v>
      </c>
      <c r="C39" s="170">
        <v>1</v>
      </c>
      <c r="D39" s="168">
        <v>0</v>
      </c>
      <c r="E39" s="158">
        <f t="shared" si="1"/>
        <v>1</v>
      </c>
      <c r="F39" s="159"/>
    </row>
    <row r="40" spans="1:6">
      <c r="A40" s="111" t="s">
        <v>620</v>
      </c>
      <c r="B40" s="160" t="s">
        <v>621</v>
      </c>
      <c r="C40" s="170">
        <f>ROUND((C31*C29)/C35,2)</f>
        <v>0.03</v>
      </c>
      <c r="D40" s="168">
        <v>0</v>
      </c>
      <c r="E40" s="158">
        <f t="shared" si="1"/>
        <v>0.03</v>
      </c>
      <c r="F40" s="159"/>
    </row>
    <row r="41" spans="1:6">
      <c r="A41" s="156" t="s">
        <v>622</v>
      </c>
      <c r="B41" s="157" t="s">
        <v>623</v>
      </c>
      <c r="C41" s="172">
        <f>ROUND((((C36*C39)+(C37*C38))*C40)/C29,2)</f>
        <v>0.44</v>
      </c>
      <c r="D41" s="173">
        <f>SUM(D35:D40)</f>
        <v>0</v>
      </c>
      <c r="E41" s="158">
        <f t="shared" si="1"/>
        <v>0.44</v>
      </c>
      <c r="F41" s="159"/>
    </row>
    <row r="42" ht="7" customHeight="1" spans="1:6">
      <c r="A42" s="111"/>
      <c r="B42" s="160"/>
      <c r="C42" s="148"/>
      <c r="D42" s="148"/>
      <c r="E42" s="158"/>
      <c r="F42" s="159"/>
    </row>
    <row r="43" spans="1:6">
      <c r="A43" s="161" t="s">
        <v>624</v>
      </c>
      <c r="B43" s="162" t="s">
        <v>625</v>
      </c>
      <c r="C43" s="162"/>
      <c r="D43" s="162"/>
      <c r="E43" s="162"/>
      <c r="F43" s="159"/>
    </row>
    <row r="44" spans="1:6">
      <c r="A44" s="111" t="s">
        <v>626</v>
      </c>
      <c r="B44" s="160" t="s">
        <v>627</v>
      </c>
      <c r="C44" s="174">
        <v>6</v>
      </c>
      <c r="D44" s="168">
        <v>0</v>
      </c>
      <c r="E44" s="158">
        <f t="shared" ref="E44:E49" si="2">C44+D44</f>
        <v>6</v>
      </c>
      <c r="F44" s="159"/>
    </row>
    <row r="45" spans="1:6">
      <c r="A45" s="111" t="s">
        <v>628</v>
      </c>
      <c r="B45" s="160" t="s">
        <v>629</v>
      </c>
      <c r="C45" s="175">
        <v>50000</v>
      </c>
      <c r="D45" s="168">
        <v>0</v>
      </c>
      <c r="E45" s="158">
        <f t="shared" si="2"/>
        <v>50000</v>
      </c>
      <c r="F45" s="159"/>
    </row>
    <row r="46" spans="1:6">
      <c r="A46" s="111" t="s">
        <v>630</v>
      </c>
      <c r="B46" s="160" t="s">
        <v>631</v>
      </c>
      <c r="C46" s="175">
        <f>ROUND(C31*C29,2)</f>
        <v>300</v>
      </c>
      <c r="D46" s="168">
        <v>0</v>
      </c>
      <c r="E46" s="158">
        <f t="shared" si="2"/>
        <v>300</v>
      </c>
      <c r="F46" s="159"/>
    </row>
    <row r="47" spans="1:6">
      <c r="A47" s="111" t="s">
        <v>632</v>
      </c>
      <c r="B47" s="160" t="s">
        <v>633</v>
      </c>
      <c r="C47" s="176">
        <v>1501</v>
      </c>
      <c r="D47" s="168">
        <v>0</v>
      </c>
      <c r="E47" s="158">
        <f t="shared" si="2"/>
        <v>1501</v>
      </c>
      <c r="F47" s="159"/>
    </row>
    <row r="48" spans="1:6">
      <c r="A48" s="156" t="s">
        <v>634</v>
      </c>
      <c r="B48" s="157" t="s">
        <v>635</v>
      </c>
      <c r="C48" s="177">
        <f>ROUND(((C46/C45)*(C47*C44))/C29,2)</f>
        <v>4.5</v>
      </c>
      <c r="D48" s="165">
        <f>SUM(D44:D47)</f>
        <v>0</v>
      </c>
      <c r="E48" s="158">
        <f t="shared" si="2"/>
        <v>4.5</v>
      </c>
      <c r="F48" s="159"/>
    </row>
    <row r="49" ht="6" customHeight="1" spans="1:6">
      <c r="A49" s="111"/>
      <c r="B49" s="160"/>
      <c r="C49" s="148"/>
      <c r="D49" s="148"/>
      <c r="E49" s="158">
        <f t="shared" si="2"/>
        <v>0</v>
      </c>
      <c r="F49" s="159"/>
    </row>
    <row r="50" spans="1:6">
      <c r="A50" s="161" t="s">
        <v>636</v>
      </c>
      <c r="B50" s="162" t="s">
        <v>637</v>
      </c>
      <c r="C50" s="162"/>
      <c r="D50" s="162"/>
      <c r="E50" s="162"/>
      <c r="F50" s="159"/>
    </row>
    <row r="51" ht="31.5" spans="1:6">
      <c r="A51" s="111" t="s">
        <v>638</v>
      </c>
      <c r="B51" s="163" t="s">
        <v>639</v>
      </c>
      <c r="C51" s="178">
        <v>3989.7</v>
      </c>
      <c r="D51" s="168">
        <v>0</v>
      </c>
      <c r="E51" s="158">
        <f>C51+D51</f>
        <v>3989.7</v>
      </c>
      <c r="F51" s="159"/>
    </row>
    <row r="52" ht="31.5" spans="1:6">
      <c r="A52" s="111" t="s">
        <v>640</v>
      </c>
      <c r="B52" s="163" t="s">
        <v>641</v>
      </c>
      <c r="C52" s="178">
        <v>1770.39</v>
      </c>
      <c r="D52" s="168">
        <v>0</v>
      </c>
      <c r="E52" s="158">
        <f>C52+D52</f>
        <v>1770.39</v>
      </c>
      <c r="F52" s="159"/>
    </row>
    <row r="53" spans="1:6">
      <c r="A53" s="111" t="s">
        <v>642</v>
      </c>
      <c r="B53" s="163" t="s">
        <v>643</v>
      </c>
      <c r="C53" s="179">
        <f>(C52*0.2)</f>
        <v>354.078</v>
      </c>
      <c r="D53" s="168">
        <v>0</v>
      </c>
      <c r="E53" s="158">
        <f>C53+D53</f>
        <v>354.078</v>
      </c>
      <c r="F53" s="159"/>
    </row>
    <row r="54" spans="1:6">
      <c r="A54" s="156" t="s">
        <v>644</v>
      </c>
      <c r="B54" s="163" t="s">
        <v>389</v>
      </c>
      <c r="C54" s="171">
        <f>SUM(C51:C53)</f>
        <v>6114.168</v>
      </c>
      <c r="D54" s="165">
        <f>SUM(D51:D53)</f>
        <v>0</v>
      </c>
      <c r="E54" s="158">
        <f>C54+D54</f>
        <v>6114.168</v>
      </c>
      <c r="F54" s="159"/>
    </row>
    <row r="55" ht="8" customHeight="1" spans="1:6">
      <c r="A55" s="156"/>
      <c r="B55" s="157"/>
      <c r="C55" s="148"/>
      <c r="D55" s="148"/>
      <c r="E55" s="158">
        <f>C55+D55</f>
        <v>0</v>
      </c>
      <c r="F55" s="159"/>
    </row>
    <row r="56" spans="1:6">
      <c r="A56" s="161" t="s">
        <v>645</v>
      </c>
      <c r="B56" s="180" t="s">
        <v>646</v>
      </c>
      <c r="C56" s="181">
        <f>C54+C41+C48+C32+C25+C18+C14</f>
        <v>20763.220757</v>
      </c>
      <c r="D56" s="181">
        <f>D54+D48+D41+D32+D25+D18+D14</f>
        <v>6264.648414</v>
      </c>
      <c r="E56" s="182"/>
      <c r="F56" s="159"/>
    </row>
    <row r="57" spans="1:6">
      <c r="A57" s="111" t="s">
        <v>647</v>
      </c>
      <c r="B57" s="144" t="s">
        <v>648</v>
      </c>
      <c r="C57" s="176">
        <v>30</v>
      </c>
      <c r="D57" s="176">
        <v>30</v>
      </c>
      <c r="E57" s="176">
        <v>30</v>
      </c>
      <c r="F57" s="159"/>
    </row>
    <row r="58" ht="8" customHeight="1" spans="1:6">
      <c r="A58" s="111"/>
      <c r="B58" s="144"/>
      <c r="C58" s="148"/>
      <c r="D58" s="148"/>
      <c r="E58" s="158">
        <f>C58+D58</f>
        <v>0</v>
      </c>
      <c r="F58" s="159"/>
    </row>
    <row r="59" spans="1:6">
      <c r="A59" s="161" t="s">
        <v>649</v>
      </c>
      <c r="B59" s="180" t="s">
        <v>650</v>
      </c>
      <c r="C59" s="181">
        <f>C56*1.2882</f>
        <v>26747.1809791674</v>
      </c>
      <c r="D59" s="181">
        <f>D56*1.2882</f>
        <v>8070.1200869148</v>
      </c>
      <c r="E59" s="182"/>
      <c r="F59" s="159"/>
    </row>
    <row r="60" spans="1:6">
      <c r="A60" s="111" t="s">
        <v>651</v>
      </c>
      <c r="B60" s="144" t="s">
        <v>648</v>
      </c>
      <c r="C60" s="176">
        <v>0</v>
      </c>
      <c r="D60" s="176">
        <v>0</v>
      </c>
      <c r="E60" s="176">
        <v>0</v>
      </c>
      <c r="F60" s="159"/>
    </row>
    <row r="61" ht="8" customHeight="1" spans="1:6">
      <c r="A61" s="137"/>
      <c r="B61" s="183"/>
      <c r="C61" s="184"/>
      <c r="D61" s="184"/>
      <c r="E61" s="158"/>
      <c r="F61" s="159"/>
    </row>
    <row r="62" spans="1:6">
      <c r="A62" s="161" t="s">
        <v>652</v>
      </c>
      <c r="B62" s="185" t="s">
        <v>653</v>
      </c>
      <c r="C62" s="185" t="s">
        <v>654</v>
      </c>
      <c r="D62" s="185" t="s">
        <v>655</v>
      </c>
      <c r="E62" s="185"/>
      <c r="F62" s="159"/>
    </row>
    <row r="63" spans="1:6">
      <c r="A63" s="111"/>
      <c r="B63" s="186" t="s">
        <v>656</v>
      </c>
      <c r="C63" s="173">
        <f>ROUND(C56/C57,2)</f>
        <v>692.11</v>
      </c>
      <c r="D63" s="173">
        <f>ROUND(D56/D57,2)</f>
        <v>208.82</v>
      </c>
      <c r="E63" s="158">
        <f>C63+D63</f>
        <v>900.93</v>
      </c>
      <c r="F63" s="187"/>
    </row>
    <row r="64" spans="1:5">
      <c r="A64" s="160"/>
      <c r="B64" s="186" t="s">
        <v>657</v>
      </c>
      <c r="C64" s="173">
        <f>ROUND(C59/C57,2)</f>
        <v>891.57</v>
      </c>
      <c r="D64" s="173">
        <f>ROUND(D59/D57,2)</f>
        <v>269</v>
      </c>
      <c r="E64" s="158">
        <f>C64+D64</f>
        <v>1160.57</v>
      </c>
    </row>
    <row r="65" ht="7" customHeight="1" spans="1:5">
      <c r="A65" s="191"/>
      <c r="B65" s="191"/>
      <c r="C65" s="191"/>
      <c r="D65" s="191"/>
      <c r="E65" s="191"/>
    </row>
  </sheetData>
  <mergeCells count="18">
    <mergeCell ref="A1:E1"/>
    <mergeCell ref="A2:E2"/>
    <mergeCell ref="A3:E3"/>
    <mergeCell ref="B4:E4"/>
    <mergeCell ref="A7:B7"/>
    <mergeCell ref="A8:B8"/>
    <mergeCell ref="G8:K8"/>
    <mergeCell ref="B16:E16"/>
    <mergeCell ref="B20:E20"/>
    <mergeCell ref="B27:E27"/>
    <mergeCell ref="B34:E34"/>
    <mergeCell ref="B43:E43"/>
    <mergeCell ref="B50:E50"/>
    <mergeCell ref="A65:E65"/>
    <mergeCell ref="D5:D6"/>
    <mergeCell ref="E5:E6"/>
    <mergeCell ref="E7:E8"/>
    <mergeCell ref="A5:C6"/>
  </mergeCells>
  <pageMargins left="0.75" right="0.75" top="1" bottom="1" header="0.511805555555555" footer="0.511805555555555"/>
  <pageSetup paperSize="9" scale="48" firstPageNumber="0" orientation="portrait" useFirstPageNumber="1" horizontalDpi="300" verticalDpi="300"/>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6"/>
  <sheetViews>
    <sheetView view="pageBreakPreview" zoomScale="49" zoomScalePageLayoutView="49" zoomScaleNormal="89" topLeftCell="A38" workbookViewId="0">
      <selection activeCell="H171" sqref="H171"/>
    </sheetView>
  </sheetViews>
  <sheetFormatPr defaultColWidth="10.6222222222222" defaultRowHeight="15.75"/>
  <cols>
    <col min="1" max="1" width="8.5" style="57" customWidth="1"/>
    <col min="2" max="2" width="45" style="57" customWidth="1"/>
    <col min="3" max="3" width="104.833333333333" style="57" customWidth="1"/>
    <col min="4" max="4" width="9.64444444444444" style="57" customWidth="1"/>
    <col min="5" max="5" width="14.5" style="58" customWidth="1"/>
    <col min="6" max="6" width="19" style="59" customWidth="1"/>
    <col min="7" max="7" width="18.3333333333333" style="59" customWidth="1"/>
    <col min="8" max="8" width="18.8333333333333" style="59" customWidth="1"/>
    <col min="9" max="10" width="10.6444444444444" style="57"/>
    <col min="11" max="11" width="12.6666666666667" style="57" customWidth="1"/>
    <col min="12" max="1025" width="10.6444444444444" style="57"/>
  </cols>
  <sheetData>
    <row r="1" ht="84" customHeight="1" spans="1:8">
      <c r="A1" s="60" t="s">
        <v>0</v>
      </c>
      <c r="B1" s="60"/>
      <c r="C1" s="60"/>
      <c r="D1" s="60"/>
      <c r="E1" s="60"/>
      <c r="F1" s="60"/>
      <c r="G1" s="60"/>
      <c r="H1" s="60"/>
    </row>
    <row r="2" ht="28" customHeight="1" spans="1:8">
      <c r="A2" s="61" t="s">
        <v>1</v>
      </c>
      <c r="B2" s="61"/>
      <c r="C2" s="61"/>
      <c r="D2" s="61"/>
      <c r="E2" s="61"/>
      <c r="F2" s="61"/>
      <c r="G2" s="61"/>
      <c r="H2" s="61"/>
    </row>
    <row r="3" ht="28" customHeight="1" spans="1:8">
      <c r="A3" s="62" t="s">
        <v>658</v>
      </c>
      <c r="B3" s="62"/>
      <c r="C3" s="62"/>
      <c r="D3" s="62"/>
      <c r="E3" s="62"/>
      <c r="F3" s="62"/>
      <c r="G3" s="62"/>
      <c r="H3" s="62"/>
    </row>
    <row r="4" ht="41.25" customHeight="1" spans="1:8">
      <c r="A4" s="63" t="s">
        <v>3</v>
      </c>
      <c r="B4" s="63"/>
      <c r="C4" s="64" t="s">
        <v>4</v>
      </c>
      <c r="D4" s="64"/>
      <c r="E4" s="64"/>
      <c r="F4" s="64"/>
      <c r="G4" s="64"/>
      <c r="H4" s="64"/>
    </row>
    <row r="5" ht="29.25" customHeight="1" spans="1:8">
      <c r="A5" s="63" t="s">
        <v>5</v>
      </c>
      <c r="B5" s="63"/>
      <c r="C5" s="64" t="s">
        <v>6</v>
      </c>
      <c r="D5" s="64"/>
      <c r="E5" s="64"/>
      <c r="F5" s="64"/>
      <c r="G5" s="64"/>
      <c r="H5" s="64"/>
    </row>
    <row r="6" ht="35.25" customHeight="1" spans="1:8">
      <c r="A6" s="63" t="s">
        <v>7</v>
      </c>
      <c r="B6" s="63"/>
      <c r="C6" s="64" t="str">
        <f>RESUMO!B6</f>
        <v>COMPOSIÇÕES DE CUSTOS  E COTAÇÃO + TABELA DA SINAPI-PE (DEZ/2020)-DESONERADA E EMLURB (JULHO/2018)  + (BDI 28,82%).</v>
      </c>
      <c r="D6" s="64"/>
      <c r="E6" s="64"/>
      <c r="F6" s="64"/>
      <c r="G6" s="64"/>
      <c r="H6" s="64"/>
    </row>
    <row r="7" s="54" customFormat="1" ht="23" customHeight="1" spans="1:8">
      <c r="A7" s="65" t="s">
        <v>9</v>
      </c>
      <c r="B7" s="65" t="s">
        <v>46</v>
      </c>
      <c r="C7" s="66" t="s">
        <v>10</v>
      </c>
      <c r="D7" s="65" t="s">
        <v>47</v>
      </c>
      <c r="E7" s="65" t="s">
        <v>48</v>
      </c>
      <c r="F7" s="66" t="s">
        <v>49</v>
      </c>
      <c r="G7" s="67" t="s">
        <v>50</v>
      </c>
      <c r="H7" s="68">
        <v>0.2882</v>
      </c>
    </row>
    <row r="8" s="54" customFormat="1" ht="17.85" customHeight="1" spans="1:8">
      <c r="A8" s="65"/>
      <c r="B8" s="65"/>
      <c r="C8" s="66"/>
      <c r="D8" s="65"/>
      <c r="E8" s="65"/>
      <c r="F8" s="66"/>
      <c r="G8" s="67"/>
      <c r="H8" s="66" t="s">
        <v>51</v>
      </c>
    </row>
    <row r="9" s="54" customFormat="1" ht="22" customHeight="1" spans="1:8">
      <c r="A9" s="65"/>
      <c r="B9" s="65"/>
      <c r="C9" s="66"/>
      <c r="D9" s="65"/>
      <c r="E9" s="65"/>
      <c r="F9" s="66"/>
      <c r="G9" s="67"/>
      <c r="H9" s="66"/>
    </row>
    <row r="10" s="55" customFormat="1" ht="32" customHeight="1" spans="1:8">
      <c r="A10" s="69" t="s">
        <v>12</v>
      </c>
      <c r="B10" s="70" t="s">
        <v>52</v>
      </c>
      <c r="C10" s="70"/>
      <c r="D10" s="70"/>
      <c r="E10" s="70"/>
      <c r="F10" s="70"/>
      <c r="G10" s="70"/>
      <c r="H10" s="71">
        <f>SUM(H11:H16)</f>
        <v>0</v>
      </c>
    </row>
    <row r="11" s="54" customFormat="1" ht="36" customHeight="1" spans="1:11">
      <c r="A11" s="72" t="s">
        <v>53</v>
      </c>
      <c r="B11" s="73" t="s">
        <v>659</v>
      </c>
      <c r="C11" s="74" t="s">
        <v>55</v>
      </c>
      <c r="D11" s="73" t="s">
        <v>56</v>
      </c>
      <c r="E11" s="75">
        <f>'MEMÓRIA DE CÁLCULO'!E9</f>
        <v>6</v>
      </c>
      <c r="F11" s="76"/>
      <c r="G11" s="76">
        <f t="shared" ref="G11:G16" si="0">TRUNC(F11+F11*$H$7,2)</f>
        <v>0</v>
      </c>
      <c r="H11" s="76">
        <f t="shared" ref="H11:H16" si="1">TRUNC(E11*G11,2)</f>
        <v>0</v>
      </c>
      <c r="K11" s="105">
        <v>0</v>
      </c>
    </row>
    <row r="12" s="54" customFormat="1" ht="19" customHeight="1" spans="1:8">
      <c r="A12" s="72" t="s">
        <v>57</v>
      </c>
      <c r="B12" s="73" t="s">
        <v>58</v>
      </c>
      <c r="C12" s="74" t="s">
        <v>59</v>
      </c>
      <c r="D12" s="77" t="s">
        <v>56</v>
      </c>
      <c r="E12" s="75">
        <f>'MEMÓRIA DE CÁLCULO'!E10</f>
        <v>200</v>
      </c>
      <c r="F12" s="76"/>
      <c r="G12" s="76">
        <f t="shared" si="0"/>
        <v>0</v>
      </c>
      <c r="H12" s="76">
        <f t="shared" si="1"/>
        <v>0</v>
      </c>
    </row>
    <row r="13" s="54" customFormat="1" ht="19" customHeight="1" spans="1:8">
      <c r="A13" s="72" t="s">
        <v>60</v>
      </c>
      <c r="B13" s="73" t="s">
        <v>61</v>
      </c>
      <c r="C13" s="74" t="s">
        <v>62</v>
      </c>
      <c r="D13" s="77" t="s">
        <v>56</v>
      </c>
      <c r="E13" s="75">
        <f>'MEMÓRIA DE CÁLCULO'!E16</f>
        <v>100</v>
      </c>
      <c r="F13" s="76"/>
      <c r="G13" s="76">
        <f t="shared" si="0"/>
        <v>0</v>
      </c>
      <c r="H13" s="76">
        <f t="shared" si="1"/>
        <v>0</v>
      </c>
    </row>
    <row r="14" s="54" customFormat="1" ht="35" customHeight="1" spans="1:8">
      <c r="A14" s="72" t="s">
        <v>63</v>
      </c>
      <c r="B14" s="78" t="s">
        <v>64</v>
      </c>
      <c r="C14" s="74" t="s">
        <v>65</v>
      </c>
      <c r="D14" s="73" t="s">
        <v>66</v>
      </c>
      <c r="E14" s="75">
        <f>'MEMÓRIA DE CÁLCULO'!E17</f>
        <v>45</v>
      </c>
      <c r="F14" s="76"/>
      <c r="G14" s="76">
        <f t="shared" si="0"/>
        <v>0</v>
      </c>
      <c r="H14" s="76">
        <f t="shared" si="1"/>
        <v>0</v>
      </c>
    </row>
    <row r="15" s="54" customFormat="1" ht="33.75" customHeight="1" spans="1:8">
      <c r="A15" s="72" t="s">
        <v>67</v>
      </c>
      <c r="B15" s="73" t="s">
        <v>68</v>
      </c>
      <c r="C15" s="74" t="s">
        <v>69</v>
      </c>
      <c r="D15" s="77" t="s">
        <v>56</v>
      </c>
      <c r="E15" s="75">
        <f>'MEMÓRIA DE CÁLCULO'!E19</f>
        <v>132</v>
      </c>
      <c r="F15" s="79"/>
      <c r="G15" s="76">
        <f t="shared" si="0"/>
        <v>0</v>
      </c>
      <c r="H15" s="76">
        <f t="shared" si="1"/>
        <v>0</v>
      </c>
    </row>
    <row r="16" s="54" customFormat="1" ht="31.5" spans="1:8">
      <c r="A16" s="72" t="s">
        <v>70</v>
      </c>
      <c r="B16" s="73" t="s">
        <v>71</v>
      </c>
      <c r="C16" s="74" t="s">
        <v>72</v>
      </c>
      <c r="D16" s="73" t="s">
        <v>73</v>
      </c>
      <c r="E16" s="75">
        <f>'MEMÓRIA DE CÁLCULO'!E20</f>
        <v>5</v>
      </c>
      <c r="F16" s="79"/>
      <c r="G16" s="76">
        <f t="shared" si="0"/>
        <v>0</v>
      </c>
      <c r="H16" s="76">
        <f t="shared" si="1"/>
        <v>0</v>
      </c>
    </row>
    <row r="17" s="54" customFormat="1" ht="9.65" customHeight="1" spans="1:8">
      <c r="A17" s="80"/>
      <c r="B17" s="80"/>
      <c r="C17" s="80"/>
      <c r="D17" s="80"/>
      <c r="E17" s="81"/>
      <c r="F17" s="81"/>
      <c r="G17" s="81"/>
      <c r="H17" s="81"/>
    </row>
    <row r="18" s="54" customFormat="1" ht="29.25" customHeight="1" spans="1:8">
      <c r="A18" s="69" t="s">
        <v>14</v>
      </c>
      <c r="B18" s="70" t="s">
        <v>74</v>
      </c>
      <c r="C18" s="70"/>
      <c r="D18" s="70"/>
      <c r="E18" s="70"/>
      <c r="F18" s="70"/>
      <c r="G18" s="70"/>
      <c r="H18" s="71">
        <f>SUM(H19:H31)</f>
        <v>0</v>
      </c>
    </row>
    <row r="19" s="54" customFormat="1" ht="26" customHeight="1" spans="1:8">
      <c r="A19" s="82" t="s">
        <v>75</v>
      </c>
      <c r="B19" s="83" t="s">
        <v>76</v>
      </c>
      <c r="C19" s="84" t="s">
        <v>77</v>
      </c>
      <c r="D19" s="77" t="s">
        <v>56</v>
      </c>
      <c r="E19" s="75">
        <f>'MEMÓRIA DE CÁLCULO'!E23</f>
        <v>272.8</v>
      </c>
      <c r="F19" s="76"/>
      <c r="G19" s="76">
        <f t="shared" ref="G19:G31" si="2">TRUNC(F19+F19*$H$7,2)</f>
        <v>0</v>
      </c>
      <c r="H19" s="76">
        <f t="shared" ref="H19:H31" si="3">TRUNC(E19*G19,2)</f>
        <v>0</v>
      </c>
    </row>
    <row r="20" s="54" customFormat="1" ht="24" customHeight="1" spans="1:8">
      <c r="A20" s="82" t="s">
        <v>78</v>
      </c>
      <c r="B20" s="83" t="s">
        <v>79</v>
      </c>
      <c r="C20" s="84" t="s">
        <v>80</v>
      </c>
      <c r="D20" s="77" t="s">
        <v>56</v>
      </c>
      <c r="E20" s="75">
        <f>'MEMÓRIA DE CÁLCULO'!E25</f>
        <v>172.8</v>
      </c>
      <c r="F20" s="76"/>
      <c r="G20" s="76">
        <f t="shared" si="2"/>
        <v>0</v>
      </c>
      <c r="H20" s="76">
        <f t="shared" si="3"/>
        <v>0</v>
      </c>
    </row>
    <row r="21" s="54" customFormat="1" ht="23" customHeight="1" spans="1:8">
      <c r="A21" s="82" t="s">
        <v>81</v>
      </c>
      <c r="B21" s="83" t="s">
        <v>82</v>
      </c>
      <c r="C21" s="84" t="s">
        <v>83</v>
      </c>
      <c r="D21" s="77" t="s">
        <v>56</v>
      </c>
      <c r="E21" s="75">
        <f>'MEMÓRIA DE CÁLCULO'!E26</f>
        <v>39.57</v>
      </c>
      <c r="F21" s="76"/>
      <c r="G21" s="76">
        <f t="shared" si="2"/>
        <v>0</v>
      </c>
      <c r="H21" s="76">
        <f t="shared" si="3"/>
        <v>0</v>
      </c>
    </row>
    <row r="22" s="54" customFormat="1" ht="27" customHeight="1" spans="1:8">
      <c r="A22" s="82" t="s">
        <v>84</v>
      </c>
      <c r="B22" s="83" t="s">
        <v>85</v>
      </c>
      <c r="C22" s="84" t="s">
        <v>86</v>
      </c>
      <c r="D22" s="77" t="s">
        <v>56</v>
      </c>
      <c r="E22" s="85">
        <f>'MEMÓRIA DE CÁLCULO'!E29</f>
        <v>391.5</v>
      </c>
      <c r="F22" s="76"/>
      <c r="G22" s="76">
        <f t="shared" si="2"/>
        <v>0</v>
      </c>
      <c r="H22" s="76">
        <f t="shared" si="3"/>
        <v>0</v>
      </c>
    </row>
    <row r="23" s="54" customFormat="1" ht="35" customHeight="1" spans="1:8">
      <c r="A23" s="82" t="s">
        <v>87</v>
      </c>
      <c r="B23" s="83" t="s">
        <v>88</v>
      </c>
      <c r="C23" s="84" t="s">
        <v>89</v>
      </c>
      <c r="D23" s="77" t="s">
        <v>56</v>
      </c>
      <c r="E23" s="85">
        <f>'MEMÓRIA DE CÁLCULO'!E30</f>
        <v>39</v>
      </c>
      <c r="F23" s="76"/>
      <c r="G23" s="76">
        <f t="shared" si="2"/>
        <v>0</v>
      </c>
      <c r="H23" s="76">
        <f t="shared" si="3"/>
        <v>0</v>
      </c>
    </row>
    <row r="24" s="54" customFormat="1" ht="31.5" spans="1:8">
      <c r="A24" s="82" t="s">
        <v>90</v>
      </c>
      <c r="B24" s="83" t="s">
        <v>91</v>
      </c>
      <c r="C24" s="86" t="s">
        <v>92</v>
      </c>
      <c r="D24" s="77" t="s">
        <v>56</v>
      </c>
      <c r="E24" s="87">
        <f>'MEMÓRIA DE CÁLCULO'!E31</f>
        <v>52.5</v>
      </c>
      <c r="F24" s="76"/>
      <c r="G24" s="76">
        <f t="shared" si="2"/>
        <v>0</v>
      </c>
      <c r="H24" s="76">
        <f t="shared" si="3"/>
        <v>0</v>
      </c>
    </row>
    <row r="25" s="54" customFormat="1" ht="21" customHeight="1" spans="1:8">
      <c r="A25" s="82" t="s">
        <v>93</v>
      </c>
      <c r="B25" s="83" t="s">
        <v>94</v>
      </c>
      <c r="C25" s="86" t="s">
        <v>95</v>
      </c>
      <c r="D25" s="77" t="s">
        <v>56</v>
      </c>
      <c r="E25" s="87">
        <f>'MEMÓRIA DE CÁLCULO'!E32</f>
        <v>55</v>
      </c>
      <c r="F25" s="76"/>
      <c r="G25" s="76">
        <f t="shared" si="2"/>
        <v>0</v>
      </c>
      <c r="H25" s="76">
        <f t="shared" si="3"/>
        <v>0</v>
      </c>
    </row>
    <row r="26" s="54" customFormat="1" ht="21" customHeight="1" spans="1:8">
      <c r="A26" s="82" t="s">
        <v>96</v>
      </c>
      <c r="B26" s="83" t="s">
        <v>97</v>
      </c>
      <c r="C26" s="86" t="s">
        <v>98</v>
      </c>
      <c r="D26" s="77" t="s">
        <v>56</v>
      </c>
      <c r="E26" s="87">
        <f>'MEMÓRIA DE CÁLCULO'!E33</f>
        <v>668.01</v>
      </c>
      <c r="F26" s="76"/>
      <c r="G26" s="76">
        <f t="shared" si="2"/>
        <v>0</v>
      </c>
      <c r="H26" s="76">
        <f t="shared" si="3"/>
        <v>0</v>
      </c>
    </row>
    <row r="27" s="54" customFormat="1" ht="21" customHeight="1" spans="1:8">
      <c r="A27" s="82" t="s">
        <v>99</v>
      </c>
      <c r="B27" s="83" t="s">
        <v>100</v>
      </c>
      <c r="C27" s="86" t="s">
        <v>101</v>
      </c>
      <c r="D27" s="77" t="s">
        <v>66</v>
      </c>
      <c r="E27" s="87">
        <f>'MEMÓRIA DE CÁLCULO'!E49</f>
        <v>1.62</v>
      </c>
      <c r="F27" s="76"/>
      <c r="G27" s="76">
        <f t="shared" si="2"/>
        <v>0</v>
      </c>
      <c r="H27" s="76">
        <f t="shared" si="3"/>
        <v>0</v>
      </c>
    </row>
    <row r="28" s="54" customFormat="1" ht="21" customHeight="1" spans="1:8">
      <c r="A28" s="82" t="s">
        <v>102</v>
      </c>
      <c r="B28" s="83" t="s">
        <v>103</v>
      </c>
      <c r="C28" s="86" t="s">
        <v>104</v>
      </c>
      <c r="D28" s="77" t="s">
        <v>105</v>
      </c>
      <c r="E28" s="85">
        <f>'MEMÓRIA DE CÁLCULO'!E50</f>
        <v>5</v>
      </c>
      <c r="F28" s="76"/>
      <c r="G28" s="76">
        <f t="shared" si="2"/>
        <v>0</v>
      </c>
      <c r="H28" s="76">
        <f t="shared" si="3"/>
        <v>0</v>
      </c>
    </row>
    <row r="29" s="54" customFormat="1" ht="38" customHeight="1" spans="1:8">
      <c r="A29" s="82" t="s">
        <v>106</v>
      </c>
      <c r="B29" s="78" t="s">
        <v>107</v>
      </c>
      <c r="C29" s="86" t="s">
        <v>108</v>
      </c>
      <c r="D29" s="77" t="s">
        <v>66</v>
      </c>
      <c r="E29" s="85">
        <f>'MEMÓRIA DE CÁLCULO'!E51</f>
        <v>1.5</v>
      </c>
      <c r="F29" s="76"/>
      <c r="G29" s="76">
        <f t="shared" si="2"/>
        <v>0</v>
      </c>
      <c r="H29" s="76">
        <f t="shared" si="3"/>
        <v>0</v>
      </c>
    </row>
    <row r="30" s="54" customFormat="1" ht="35" customHeight="1" spans="1:8">
      <c r="A30" s="82" t="s">
        <v>109</v>
      </c>
      <c r="B30" s="78" t="s">
        <v>110</v>
      </c>
      <c r="C30" s="88" t="s">
        <v>111</v>
      </c>
      <c r="D30" s="77" t="s">
        <v>66</v>
      </c>
      <c r="E30" s="85">
        <f>'MEMÓRIA DE CÁLCULO'!E52</f>
        <v>87.54</v>
      </c>
      <c r="F30" s="76"/>
      <c r="G30" s="76">
        <f t="shared" si="2"/>
        <v>0</v>
      </c>
      <c r="H30" s="76">
        <f t="shared" si="3"/>
        <v>0</v>
      </c>
    </row>
    <row r="31" s="54" customFormat="1" ht="44" customHeight="1" spans="1:8">
      <c r="A31" s="82" t="s">
        <v>112</v>
      </c>
      <c r="B31" s="78" t="s">
        <v>113</v>
      </c>
      <c r="C31" s="86" t="s">
        <v>114</v>
      </c>
      <c r="D31" s="77" t="s">
        <v>73</v>
      </c>
      <c r="E31" s="85">
        <f>'MEMÓRIA DE CÁLCULO'!E63</f>
        <v>0.5</v>
      </c>
      <c r="F31" s="76"/>
      <c r="G31" s="76">
        <f t="shared" si="2"/>
        <v>0</v>
      </c>
      <c r="H31" s="76">
        <f t="shared" si="3"/>
        <v>0</v>
      </c>
    </row>
    <row r="32" s="54" customFormat="1" ht="9.65" customHeight="1" spans="1:8">
      <c r="A32" s="89"/>
      <c r="B32" s="90"/>
      <c r="C32" s="91"/>
      <c r="D32" s="92"/>
      <c r="E32" s="85"/>
      <c r="F32" s="93"/>
      <c r="G32" s="94"/>
      <c r="H32" s="93"/>
    </row>
    <row r="33" s="54" customFormat="1" ht="26.25" customHeight="1" spans="1:8">
      <c r="A33" s="69" t="s">
        <v>16</v>
      </c>
      <c r="B33" s="70" t="s">
        <v>115</v>
      </c>
      <c r="C33" s="70"/>
      <c r="D33" s="70"/>
      <c r="E33" s="70"/>
      <c r="F33" s="70"/>
      <c r="G33" s="70"/>
      <c r="H33" s="71">
        <f>SUM(H34:H43)</f>
        <v>0</v>
      </c>
    </row>
    <row r="34" s="54" customFormat="1" ht="25" customHeight="1" spans="1:8">
      <c r="A34" s="89" t="s">
        <v>116</v>
      </c>
      <c r="B34" s="78" t="s">
        <v>117</v>
      </c>
      <c r="C34" s="95" t="s">
        <v>118</v>
      </c>
      <c r="D34" s="96" t="s">
        <v>56</v>
      </c>
      <c r="E34" s="85">
        <f>'MEMÓRIA DE CÁLCULO'!E66</f>
        <v>825.49</v>
      </c>
      <c r="F34" s="76"/>
      <c r="G34" s="76">
        <f t="shared" ref="G34:G43" si="4">TRUNC(F34+F34*$H$7,2)</f>
        <v>0</v>
      </c>
      <c r="H34" s="76">
        <f t="shared" ref="H34:H43" si="5">TRUNC(E34*G34,2)</f>
        <v>0</v>
      </c>
    </row>
    <row r="35" s="54" customFormat="1" ht="35" customHeight="1" spans="1:8">
      <c r="A35" s="89" t="s">
        <v>119</v>
      </c>
      <c r="B35" s="78" t="s">
        <v>120</v>
      </c>
      <c r="C35" s="95" t="s">
        <v>121</v>
      </c>
      <c r="D35" s="96" t="s">
        <v>56</v>
      </c>
      <c r="E35" s="85">
        <f>'MEMÓRIA DE CÁLCULO'!E85</f>
        <v>50</v>
      </c>
      <c r="F35" s="76"/>
      <c r="G35" s="76">
        <f t="shared" si="4"/>
        <v>0</v>
      </c>
      <c r="H35" s="76">
        <f t="shared" si="5"/>
        <v>0</v>
      </c>
    </row>
    <row r="36" s="54" customFormat="1" ht="33" customHeight="1" spans="1:8">
      <c r="A36" s="89" t="s">
        <v>122</v>
      </c>
      <c r="B36" s="78" t="s">
        <v>123</v>
      </c>
      <c r="C36" s="95" t="s">
        <v>124</v>
      </c>
      <c r="D36" s="96" t="s">
        <v>56</v>
      </c>
      <c r="E36" s="85">
        <f>'MEMÓRIA DE CÁLCULO'!E86</f>
        <v>825.49</v>
      </c>
      <c r="F36" s="76"/>
      <c r="G36" s="76">
        <f t="shared" si="4"/>
        <v>0</v>
      </c>
      <c r="H36" s="76">
        <f t="shared" si="5"/>
        <v>0</v>
      </c>
    </row>
    <row r="37" s="54" customFormat="1" ht="63" spans="1:8">
      <c r="A37" s="89" t="s">
        <v>125</v>
      </c>
      <c r="B37" s="78" t="s">
        <v>126</v>
      </c>
      <c r="C37" s="95" t="s">
        <v>127</v>
      </c>
      <c r="D37" s="96" t="s">
        <v>56</v>
      </c>
      <c r="E37" s="85">
        <f>'MEMÓRIA DE CÁLCULO'!E105</f>
        <v>825.49</v>
      </c>
      <c r="F37" s="76"/>
      <c r="G37" s="76">
        <f t="shared" si="4"/>
        <v>0</v>
      </c>
      <c r="H37" s="76">
        <f t="shared" si="5"/>
        <v>0</v>
      </c>
    </row>
    <row r="38" s="54" customFormat="1" ht="47.25" spans="1:8">
      <c r="A38" s="89" t="s">
        <v>128</v>
      </c>
      <c r="B38" s="78" t="s">
        <v>129</v>
      </c>
      <c r="C38" s="95" t="s">
        <v>130</v>
      </c>
      <c r="D38" s="96" t="s">
        <v>56</v>
      </c>
      <c r="E38" s="85">
        <f>'MEMÓRIA DE CÁLCULO'!E124</f>
        <v>405</v>
      </c>
      <c r="F38" s="79"/>
      <c r="G38" s="76">
        <f t="shared" si="4"/>
        <v>0</v>
      </c>
      <c r="H38" s="76">
        <f t="shared" si="5"/>
        <v>0</v>
      </c>
    </row>
    <row r="39" s="54" customFormat="1" ht="47.25" spans="1:8">
      <c r="A39" s="89" t="s">
        <v>131</v>
      </c>
      <c r="B39" s="83" t="s">
        <v>132</v>
      </c>
      <c r="C39" s="97" t="s">
        <v>133</v>
      </c>
      <c r="D39" s="77" t="s">
        <v>66</v>
      </c>
      <c r="E39" s="85">
        <f>'MEMÓRIA DE CÁLCULO'!E139</f>
        <v>1.19</v>
      </c>
      <c r="F39" s="79"/>
      <c r="G39" s="76">
        <f t="shared" si="4"/>
        <v>0</v>
      </c>
      <c r="H39" s="76">
        <f t="shared" si="5"/>
        <v>0</v>
      </c>
    </row>
    <row r="40" s="54" customFormat="1" ht="31.5" spans="1:8">
      <c r="A40" s="89" t="s">
        <v>134</v>
      </c>
      <c r="B40" s="83" t="s">
        <v>88</v>
      </c>
      <c r="C40" s="84" t="s">
        <v>89</v>
      </c>
      <c r="D40" s="77" t="s">
        <v>56</v>
      </c>
      <c r="E40" s="85">
        <f>'MEMÓRIA DE CÁLCULO'!E150</f>
        <v>0.58</v>
      </c>
      <c r="F40" s="79"/>
      <c r="G40" s="76">
        <f t="shared" si="4"/>
        <v>0</v>
      </c>
      <c r="H40" s="76">
        <f t="shared" si="5"/>
        <v>0</v>
      </c>
    </row>
    <row r="41" s="54" customFormat="1" ht="31.5" spans="1:8">
      <c r="A41" s="89" t="s">
        <v>135</v>
      </c>
      <c r="B41" s="83" t="s">
        <v>107</v>
      </c>
      <c r="C41" s="86" t="s">
        <v>136</v>
      </c>
      <c r="D41" s="77" t="s">
        <v>66</v>
      </c>
      <c r="E41" s="85">
        <f>'MEMÓRIA DE CÁLCULO'!E151</f>
        <v>6.33</v>
      </c>
      <c r="F41" s="79"/>
      <c r="G41" s="76">
        <f t="shared" si="4"/>
        <v>0</v>
      </c>
      <c r="H41" s="76">
        <f t="shared" si="5"/>
        <v>0</v>
      </c>
    </row>
    <row r="42" s="54" customFormat="1" ht="47.25" spans="1:8">
      <c r="A42" s="89" t="s">
        <v>137</v>
      </c>
      <c r="B42" s="83" t="s">
        <v>132</v>
      </c>
      <c r="C42" s="97" t="s">
        <v>138</v>
      </c>
      <c r="D42" s="96" t="s">
        <v>66</v>
      </c>
      <c r="E42" s="85">
        <f>'MEMÓRIA DE CÁLCULO'!E152</f>
        <v>1.89</v>
      </c>
      <c r="F42" s="79"/>
      <c r="G42" s="76">
        <f t="shared" si="4"/>
        <v>0</v>
      </c>
      <c r="H42" s="76">
        <f t="shared" si="5"/>
        <v>0</v>
      </c>
    </row>
    <row r="43" s="54" customFormat="1" ht="31.5" spans="1:8">
      <c r="A43" s="89" t="s">
        <v>139</v>
      </c>
      <c r="B43" s="78" t="s">
        <v>140</v>
      </c>
      <c r="C43" s="74" t="s">
        <v>141</v>
      </c>
      <c r="D43" s="96" t="s">
        <v>66</v>
      </c>
      <c r="E43" s="85">
        <f>'MEMÓRIA DE CÁLCULO'!E154</f>
        <v>4.44</v>
      </c>
      <c r="F43" s="79"/>
      <c r="G43" s="76">
        <f t="shared" si="4"/>
        <v>0</v>
      </c>
      <c r="H43" s="76">
        <f t="shared" si="5"/>
        <v>0</v>
      </c>
    </row>
    <row r="44" s="54" customFormat="1" ht="9.65" customHeight="1" spans="1:8">
      <c r="A44" s="89"/>
      <c r="B44" s="90"/>
      <c r="C44" s="91"/>
      <c r="D44" s="92"/>
      <c r="E44" s="85"/>
      <c r="F44" s="93"/>
      <c r="G44" s="94"/>
      <c r="H44" s="93"/>
    </row>
    <row r="45" s="54" customFormat="1" ht="33" customHeight="1" spans="1:8">
      <c r="A45" s="69" t="s">
        <v>18</v>
      </c>
      <c r="B45" s="70" t="s">
        <v>438</v>
      </c>
      <c r="C45" s="70"/>
      <c r="D45" s="70"/>
      <c r="E45" s="70"/>
      <c r="F45" s="70"/>
      <c r="G45" s="70"/>
      <c r="H45" s="71">
        <f>SUM(H46:H52)</f>
        <v>0</v>
      </c>
    </row>
    <row r="46" s="54" customFormat="1" ht="32" customHeight="1" spans="1:8">
      <c r="A46" s="82" t="s">
        <v>143</v>
      </c>
      <c r="B46" s="83" t="s">
        <v>107</v>
      </c>
      <c r="C46" s="86" t="s">
        <v>136</v>
      </c>
      <c r="D46" s="77" t="s">
        <v>66</v>
      </c>
      <c r="E46" s="85">
        <f>'MEMÓRIA DE CÁLCULO'!E157</f>
        <v>4</v>
      </c>
      <c r="F46" s="79"/>
      <c r="G46" s="79">
        <f t="shared" ref="G46:G52" si="6">TRUNC(F46+F46*$H$7,2)</f>
        <v>0</v>
      </c>
      <c r="H46" s="76">
        <f t="shared" ref="H46:H52" si="7">TRUNC(E46*G46,2)</f>
        <v>0</v>
      </c>
    </row>
    <row r="47" s="54" customFormat="1" ht="36" customHeight="1" spans="1:8">
      <c r="A47" s="82" t="s">
        <v>144</v>
      </c>
      <c r="B47" s="78" t="s">
        <v>145</v>
      </c>
      <c r="C47" s="97" t="s">
        <v>146</v>
      </c>
      <c r="D47" s="96" t="s">
        <v>66</v>
      </c>
      <c r="E47" s="85">
        <f>'MEMÓRIA DE CÁLCULO'!E158</f>
        <v>0.4</v>
      </c>
      <c r="F47" s="79"/>
      <c r="G47" s="79">
        <f t="shared" si="6"/>
        <v>0</v>
      </c>
      <c r="H47" s="76">
        <f t="shared" si="7"/>
        <v>0</v>
      </c>
    </row>
    <row r="48" s="54" customFormat="1" ht="36" customHeight="1" spans="1:8">
      <c r="A48" s="82" t="s">
        <v>147</v>
      </c>
      <c r="B48" s="78" t="s">
        <v>148</v>
      </c>
      <c r="C48" s="97" t="s">
        <v>149</v>
      </c>
      <c r="D48" s="96" t="s">
        <v>66</v>
      </c>
      <c r="E48" s="85">
        <f>'MEMÓRIA DE CÁLCULO'!E159</f>
        <v>1.2</v>
      </c>
      <c r="F48" s="79"/>
      <c r="G48" s="79">
        <f t="shared" si="6"/>
        <v>0</v>
      </c>
      <c r="H48" s="76">
        <f t="shared" si="7"/>
        <v>0</v>
      </c>
    </row>
    <row r="49" s="54" customFormat="1" ht="36" customHeight="1" spans="1:8">
      <c r="A49" s="82" t="s">
        <v>150</v>
      </c>
      <c r="B49" s="78" t="s">
        <v>151</v>
      </c>
      <c r="C49" s="97" t="s">
        <v>152</v>
      </c>
      <c r="D49" s="96" t="s">
        <v>66</v>
      </c>
      <c r="E49" s="85">
        <f>'MEMÓRIA DE CÁLCULO'!E160</f>
        <v>1.8</v>
      </c>
      <c r="F49" s="79"/>
      <c r="G49" s="79">
        <f t="shared" si="6"/>
        <v>0</v>
      </c>
      <c r="H49" s="76">
        <f t="shared" si="7"/>
        <v>0</v>
      </c>
    </row>
    <row r="50" s="54" customFormat="1" ht="36" customHeight="1" spans="1:8">
      <c r="A50" s="98" t="s">
        <v>153</v>
      </c>
      <c r="B50" s="78" t="s">
        <v>154</v>
      </c>
      <c r="C50" s="97" t="s">
        <v>155</v>
      </c>
      <c r="D50" s="96" t="s">
        <v>66</v>
      </c>
      <c r="E50" s="85">
        <f>'MEMÓRIA DE CÁLCULO'!E161</f>
        <v>0.4</v>
      </c>
      <c r="F50" s="79"/>
      <c r="G50" s="79">
        <f t="shared" si="6"/>
        <v>0</v>
      </c>
      <c r="H50" s="76">
        <f t="shared" si="7"/>
        <v>0</v>
      </c>
    </row>
    <row r="51" s="54" customFormat="1" ht="36" customHeight="1" spans="1:8">
      <c r="A51" s="98" t="s">
        <v>156</v>
      </c>
      <c r="B51" s="78" t="s">
        <v>157</v>
      </c>
      <c r="C51" s="97" t="s">
        <v>158</v>
      </c>
      <c r="D51" s="96" t="s">
        <v>66</v>
      </c>
      <c r="E51" s="85">
        <f>'MEMÓRIA DE CÁLCULO'!E162</f>
        <v>0.24</v>
      </c>
      <c r="F51" s="79"/>
      <c r="G51" s="79">
        <f t="shared" si="6"/>
        <v>0</v>
      </c>
      <c r="H51" s="76">
        <f t="shared" si="7"/>
        <v>0</v>
      </c>
    </row>
    <row r="52" s="54" customFormat="1" ht="36" customHeight="1" spans="1:8">
      <c r="A52" s="98" t="s">
        <v>159</v>
      </c>
      <c r="B52" s="78" t="s">
        <v>140</v>
      </c>
      <c r="C52" s="97" t="s">
        <v>160</v>
      </c>
      <c r="D52" s="96" t="s">
        <v>66</v>
      </c>
      <c r="E52" s="85">
        <f>'MEMÓRIA DE CÁLCULO'!E163</f>
        <v>2.8</v>
      </c>
      <c r="F52" s="79"/>
      <c r="G52" s="79">
        <f t="shared" si="6"/>
        <v>0</v>
      </c>
      <c r="H52" s="76">
        <f t="shared" si="7"/>
        <v>0</v>
      </c>
    </row>
    <row r="53" s="54" customFormat="1" ht="9.65" customHeight="1" spans="1:8">
      <c r="A53" s="99"/>
      <c r="B53" s="100"/>
      <c r="C53" s="101"/>
      <c r="D53" s="100"/>
      <c r="E53" s="99"/>
      <c r="F53" s="99"/>
      <c r="G53" s="99"/>
      <c r="H53" s="99"/>
    </row>
    <row r="54" s="54" customFormat="1" ht="29.25" customHeight="1" spans="1:8">
      <c r="A54" s="69" t="s">
        <v>20</v>
      </c>
      <c r="B54" s="70" t="s">
        <v>161</v>
      </c>
      <c r="C54" s="70"/>
      <c r="D54" s="70"/>
      <c r="E54" s="70"/>
      <c r="F54" s="70"/>
      <c r="G54" s="70"/>
      <c r="H54" s="71">
        <f>SUM(H55:H57)</f>
        <v>0</v>
      </c>
    </row>
    <row r="55" s="54" customFormat="1" ht="37" customHeight="1" spans="1:8">
      <c r="A55" s="82" t="s">
        <v>162</v>
      </c>
      <c r="B55" s="98" t="s">
        <v>163</v>
      </c>
      <c r="C55" s="97" t="s">
        <v>164</v>
      </c>
      <c r="D55" s="96" t="s">
        <v>56</v>
      </c>
      <c r="E55" s="102">
        <f>'MEMÓRIA DE CÁLCULO'!E166</f>
        <v>172.8</v>
      </c>
      <c r="F55" s="79"/>
      <c r="G55" s="79">
        <f>TRUNC(F55+F55*$H$7,2)</f>
        <v>0</v>
      </c>
      <c r="H55" s="79">
        <f>TRUNC(E55*G55,2)</f>
        <v>0</v>
      </c>
    </row>
    <row r="56" s="54" customFormat="1" ht="22" customHeight="1" spans="1:8">
      <c r="A56" s="82" t="s">
        <v>165</v>
      </c>
      <c r="B56" s="98" t="s">
        <v>166</v>
      </c>
      <c r="C56" s="97" t="s">
        <v>167</v>
      </c>
      <c r="D56" s="96" t="s">
        <v>56</v>
      </c>
      <c r="E56" s="102">
        <f>'MEMÓRIA DE CÁLCULO'!E167</f>
        <v>307.58</v>
      </c>
      <c r="F56" s="79"/>
      <c r="G56" s="79">
        <f>TRUNC(F56+F56*$H$7,2)</f>
        <v>0</v>
      </c>
      <c r="H56" s="79">
        <f>TRUNC(E56*G56,2)</f>
        <v>0</v>
      </c>
    </row>
    <row r="57" s="54" customFormat="1" ht="22" customHeight="1" spans="1:8">
      <c r="A57" s="82" t="s">
        <v>168</v>
      </c>
      <c r="B57" s="98" t="s">
        <v>166</v>
      </c>
      <c r="C57" s="97" t="s">
        <v>169</v>
      </c>
      <c r="D57" s="77" t="s">
        <v>56</v>
      </c>
      <c r="E57" s="102">
        <f>'MEMÓRIA DE CÁLCULO'!E168</f>
        <v>136.4</v>
      </c>
      <c r="F57" s="79"/>
      <c r="G57" s="79">
        <f>TRUNC(F57+F57*$H$7,2)</f>
        <v>0</v>
      </c>
      <c r="H57" s="79">
        <f>TRUNC(E57*G57,2)</f>
        <v>0</v>
      </c>
    </row>
    <row r="58" s="54" customFormat="1" ht="9.65" customHeight="1" spans="1:8">
      <c r="A58" s="82"/>
      <c r="B58" s="103"/>
      <c r="C58" s="104"/>
      <c r="D58" s="89"/>
      <c r="E58" s="99"/>
      <c r="F58" s="99"/>
      <c r="G58" s="99"/>
      <c r="H58" s="99"/>
    </row>
    <row r="59" s="54" customFormat="1" ht="29" customHeight="1" spans="1:8">
      <c r="A59" s="69" t="s">
        <v>22</v>
      </c>
      <c r="B59" s="70" t="s">
        <v>170</v>
      </c>
      <c r="C59" s="70"/>
      <c r="D59" s="70"/>
      <c r="E59" s="70"/>
      <c r="F59" s="70"/>
      <c r="G59" s="70"/>
      <c r="H59" s="71">
        <f>SUM(H60:H63)</f>
        <v>0</v>
      </c>
    </row>
    <row r="60" s="54" customFormat="1" ht="45" customHeight="1" spans="1:8">
      <c r="A60" s="82" t="s">
        <v>171</v>
      </c>
      <c r="B60" s="98" t="s">
        <v>172</v>
      </c>
      <c r="C60" s="97" t="s">
        <v>173</v>
      </c>
      <c r="D60" s="96" t="s">
        <v>56</v>
      </c>
      <c r="E60" s="102">
        <f>'MEMÓRIA DE CÁLCULO'!E172</f>
        <v>24.57</v>
      </c>
      <c r="F60" s="79"/>
      <c r="G60" s="79">
        <f>TRUNC(F60+F60*$H$7,2)</f>
        <v>0</v>
      </c>
      <c r="H60" s="76">
        <f>TRUNC(E60*G60,2)</f>
        <v>0</v>
      </c>
    </row>
    <row r="61" s="54" customFormat="1" ht="54" customHeight="1" spans="1:8">
      <c r="A61" s="82" t="s">
        <v>174</v>
      </c>
      <c r="B61" s="98" t="s">
        <v>175</v>
      </c>
      <c r="C61" s="97" t="s">
        <v>176</v>
      </c>
      <c r="D61" s="96" t="s">
        <v>56</v>
      </c>
      <c r="E61" s="102">
        <f>'MEMÓRIA DE CÁLCULO'!E173</f>
        <v>24.57</v>
      </c>
      <c r="F61" s="79"/>
      <c r="G61" s="79">
        <f>TRUNC(F61+F61*$H$7,2)</f>
        <v>0</v>
      </c>
      <c r="H61" s="76">
        <f>TRUNC(E61*G61,2)</f>
        <v>0</v>
      </c>
    </row>
    <row r="62" s="54" customFormat="1" ht="45" customHeight="1" spans="1:8">
      <c r="A62" s="82" t="s">
        <v>177</v>
      </c>
      <c r="B62" s="98" t="s">
        <v>178</v>
      </c>
      <c r="C62" s="97" t="s">
        <v>179</v>
      </c>
      <c r="D62" s="96" t="s">
        <v>56</v>
      </c>
      <c r="E62" s="102">
        <f>'MEMÓRIA DE CÁLCULO'!E174</f>
        <v>3.6</v>
      </c>
      <c r="F62" s="79"/>
      <c r="G62" s="79">
        <f>TRUNC(F62+F62*$H$7,2)</f>
        <v>0</v>
      </c>
      <c r="H62" s="76">
        <f>TRUNC(E62*G62,2)</f>
        <v>0</v>
      </c>
    </row>
    <row r="63" s="54" customFormat="1" ht="45" customHeight="1" spans="1:8">
      <c r="A63" s="82" t="s">
        <v>180</v>
      </c>
      <c r="B63" s="98" t="s">
        <v>181</v>
      </c>
      <c r="C63" s="97" t="s">
        <v>182</v>
      </c>
      <c r="D63" s="96" t="s">
        <v>56</v>
      </c>
      <c r="E63" s="102">
        <f>'MEMÓRIA DE CÁLCULO'!E175</f>
        <v>3.6</v>
      </c>
      <c r="F63" s="79"/>
      <c r="G63" s="79">
        <f>TRUNC(F63+F63*$H$7,2)</f>
        <v>0</v>
      </c>
      <c r="H63" s="76">
        <f>TRUNC(E63*G63,2)</f>
        <v>0</v>
      </c>
    </row>
    <row r="64" s="54" customFormat="1" ht="9.65" customHeight="1" spans="1:8">
      <c r="A64" s="82"/>
      <c r="B64" s="103"/>
      <c r="C64" s="104"/>
      <c r="D64" s="89"/>
      <c r="E64" s="99"/>
      <c r="F64" s="99"/>
      <c r="G64" s="99"/>
      <c r="H64" s="99"/>
    </row>
    <row r="65" s="54" customFormat="1" ht="32" customHeight="1" spans="1:8">
      <c r="A65" s="69" t="s">
        <v>24</v>
      </c>
      <c r="B65" s="70" t="s">
        <v>183</v>
      </c>
      <c r="C65" s="70"/>
      <c r="D65" s="70"/>
      <c r="E65" s="70"/>
      <c r="F65" s="70"/>
      <c r="G65" s="70"/>
      <c r="H65" s="71">
        <f>SUM(H66:H69)</f>
        <v>0</v>
      </c>
    </row>
    <row r="66" s="54" customFormat="1" ht="47.25" spans="1:8">
      <c r="A66" s="89" t="s">
        <v>184</v>
      </c>
      <c r="B66" s="78" t="s">
        <v>185</v>
      </c>
      <c r="C66" s="97" t="s">
        <v>186</v>
      </c>
      <c r="D66" s="77" t="s">
        <v>56</v>
      </c>
      <c r="E66" s="85">
        <f>'MEMÓRIA DE CÁLCULO'!E178</f>
        <v>1350.92</v>
      </c>
      <c r="F66" s="93"/>
      <c r="G66" s="79">
        <f>TRUNC(F66+F66*$H$7,2)</f>
        <v>0</v>
      </c>
      <c r="H66" s="94">
        <f>TRUNC(E66*G66,2)</f>
        <v>0</v>
      </c>
    </row>
    <row r="67" s="54" customFormat="1" ht="47.25" spans="1:8">
      <c r="A67" s="89" t="s">
        <v>187</v>
      </c>
      <c r="B67" s="78" t="s">
        <v>188</v>
      </c>
      <c r="C67" s="97" t="s">
        <v>189</v>
      </c>
      <c r="D67" s="77" t="s">
        <v>56</v>
      </c>
      <c r="E67" s="85">
        <f>'MEMÓRIA DE CÁLCULO'!E196</f>
        <v>589.5</v>
      </c>
      <c r="F67" s="93"/>
      <c r="G67" s="94">
        <f>TRUNC(F67+F67*$H$7,2)</f>
        <v>0</v>
      </c>
      <c r="H67" s="94">
        <f>TRUNC(E67*G67,2)</f>
        <v>0</v>
      </c>
    </row>
    <row r="68" s="54" customFormat="1" ht="47.25" spans="1:8">
      <c r="A68" s="89" t="s">
        <v>190</v>
      </c>
      <c r="B68" s="106" t="s">
        <v>191</v>
      </c>
      <c r="C68" s="97" t="s">
        <v>192</v>
      </c>
      <c r="D68" s="77" t="s">
        <v>56</v>
      </c>
      <c r="E68" s="85">
        <f>'MEMÓRIA DE CÁLCULO'!E202</f>
        <v>73.71</v>
      </c>
      <c r="F68" s="93"/>
      <c r="G68" s="94">
        <f>TRUNC(F68+F68*$H$7,2)</f>
        <v>0</v>
      </c>
      <c r="H68" s="94">
        <f>TRUNC(E68*G68,2)</f>
        <v>0</v>
      </c>
    </row>
    <row r="69" s="54" customFormat="1" ht="31.5" spans="1:8">
      <c r="A69" s="89" t="s">
        <v>193</v>
      </c>
      <c r="B69" s="106" t="s">
        <v>194</v>
      </c>
      <c r="C69" s="97" t="s">
        <v>195</v>
      </c>
      <c r="D69" s="77" t="s">
        <v>56</v>
      </c>
      <c r="E69" s="85">
        <f>'MEMÓRIA DE CÁLCULO'!E203</f>
        <v>28.17</v>
      </c>
      <c r="F69" s="93"/>
      <c r="G69" s="94">
        <f>TRUNC(F69+F69*$H$7,2)</f>
        <v>0</v>
      </c>
      <c r="H69" s="94">
        <f>TRUNC(E69*G69,2)</f>
        <v>0</v>
      </c>
    </row>
    <row r="70" s="54" customFormat="1" ht="9.65" customHeight="1" spans="1:8">
      <c r="A70" s="89"/>
      <c r="B70" s="107"/>
      <c r="C70" s="108"/>
      <c r="D70" s="89"/>
      <c r="E70" s="85"/>
      <c r="F70" s="93"/>
      <c r="G70" s="94"/>
      <c r="H70" s="93"/>
    </row>
    <row r="71" s="54" customFormat="1" ht="32" customHeight="1" spans="1:8">
      <c r="A71" s="69" t="s">
        <v>26</v>
      </c>
      <c r="B71" s="70" t="s">
        <v>196</v>
      </c>
      <c r="C71" s="70"/>
      <c r="D71" s="70"/>
      <c r="E71" s="70"/>
      <c r="F71" s="70"/>
      <c r="G71" s="70"/>
      <c r="H71" s="71">
        <f>SUM(H72:H75)</f>
        <v>0</v>
      </c>
    </row>
    <row r="72" s="54" customFormat="1" ht="31.5" spans="1:8">
      <c r="A72" s="89" t="s">
        <v>197</v>
      </c>
      <c r="B72" s="78" t="s">
        <v>145</v>
      </c>
      <c r="C72" s="97" t="s">
        <v>146</v>
      </c>
      <c r="D72" s="96" t="s">
        <v>66</v>
      </c>
      <c r="E72" s="85">
        <f>'MEMÓRIA DE CÁLCULO'!E207</f>
        <v>45</v>
      </c>
      <c r="F72" s="93"/>
      <c r="G72" s="94">
        <f>TRUNC(F72+F72*$H$7,2)</f>
        <v>0</v>
      </c>
      <c r="H72" s="94">
        <f>TRUNC(E72*G72,2)</f>
        <v>0</v>
      </c>
    </row>
    <row r="73" s="54" customFormat="1" ht="47.25" spans="1:8">
      <c r="A73" s="89" t="s">
        <v>198</v>
      </c>
      <c r="B73" s="83" t="s">
        <v>199</v>
      </c>
      <c r="C73" s="97" t="s">
        <v>200</v>
      </c>
      <c r="D73" s="96" t="s">
        <v>56</v>
      </c>
      <c r="E73" s="85">
        <f>'MEMÓRIA DE CÁLCULO'!E208</f>
        <v>450</v>
      </c>
      <c r="F73" s="93"/>
      <c r="G73" s="94">
        <f>TRUNC(F73+F73*$H$7,2)</f>
        <v>0</v>
      </c>
      <c r="H73" s="94">
        <f>TRUNC(E73*G73,2)</f>
        <v>0</v>
      </c>
    </row>
    <row r="74" s="54" customFormat="1" ht="63" spans="1:8">
      <c r="A74" s="89" t="s">
        <v>201</v>
      </c>
      <c r="B74" s="83" t="s">
        <v>202</v>
      </c>
      <c r="C74" s="97" t="s">
        <v>203</v>
      </c>
      <c r="D74" s="77" t="s">
        <v>56</v>
      </c>
      <c r="E74" s="85">
        <f>'MEMÓRIA DE CÁLCULO'!E209</f>
        <v>450</v>
      </c>
      <c r="F74" s="93"/>
      <c r="G74" s="94">
        <f>TRUNC(F74+F74*$H$7,2)</f>
        <v>0</v>
      </c>
      <c r="H74" s="94">
        <f>TRUNC(E74*G74,2)</f>
        <v>0</v>
      </c>
    </row>
    <row r="75" s="54" customFormat="1" ht="78.75" spans="1:8">
      <c r="A75" s="89" t="s">
        <v>204</v>
      </c>
      <c r="B75" s="83" t="s">
        <v>205</v>
      </c>
      <c r="C75" s="97" t="s">
        <v>206</v>
      </c>
      <c r="D75" s="77" t="s">
        <v>207</v>
      </c>
      <c r="E75" s="85">
        <f>'MEMÓRIA DE CÁLCULO'!E210</f>
        <v>200</v>
      </c>
      <c r="F75" s="93"/>
      <c r="G75" s="94">
        <f>TRUNC(F75+F75*$H$7,2)</f>
        <v>0</v>
      </c>
      <c r="H75" s="94">
        <f>TRUNC(E75*G75,2)</f>
        <v>0</v>
      </c>
    </row>
    <row r="76" s="54" customFormat="1" ht="9.65" customHeight="1" spans="1:8">
      <c r="A76" s="89"/>
      <c r="B76" s="107"/>
      <c r="C76" s="108"/>
      <c r="D76" s="92"/>
      <c r="E76" s="85"/>
      <c r="F76" s="109"/>
      <c r="G76" s="94"/>
      <c r="H76" s="93"/>
    </row>
    <row r="77" s="54" customFormat="1" ht="36" customHeight="1" spans="1:8">
      <c r="A77" s="69" t="s">
        <v>28</v>
      </c>
      <c r="B77" s="70" t="s">
        <v>208</v>
      </c>
      <c r="C77" s="70"/>
      <c r="D77" s="70"/>
      <c r="E77" s="70"/>
      <c r="F77" s="70"/>
      <c r="G77" s="70"/>
      <c r="H77" s="71">
        <f>SUM(H78:H93)</f>
        <v>0</v>
      </c>
    </row>
    <row r="78" s="54" customFormat="1" ht="31.5" spans="1:8">
      <c r="A78" s="89" t="s">
        <v>209</v>
      </c>
      <c r="B78" s="83" t="s">
        <v>210</v>
      </c>
      <c r="C78" s="97" t="s">
        <v>211</v>
      </c>
      <c r="D78" s="77" t="s">
        <v>212</v>
      </c>
      <c r="E78" s="110">
        <f>'MEMÓRIA DE CÁLCULO'!E213</f>
        <v>1</v>
      </c>
      <c r="F78" s="109"/>
      <c r="G78" s="94">
        <f t="shared" ref="G78:G93" si="8">TRUNC(F78+F78*$H$7,2)</f>
        <v>0</v>
      </c>
      <c r="H78" s="94">
        <f t="shared" ref="H78:H93" si="9">TRUNC(E78*G78,2)</f>
        <v>0</v>
      </c>
    </row>
    <row r="79" s="54" customFormat="1" ht="36" customHeight="1" spans="1:8">
      <c r="A79" s="89" t="s">
        <v>213</v>
      </c>
      <c r="B79" s="83" t="s">
        <v>214</v>
      </c>
      <c r="C79" s="97" t="s">
        <v>215</v>
      </c>
      <c r="D79" s="111" t="s">
        <v>212</v>
      </c>
      <c r="E79" s="110">
        <f>'MEMÓRIA DE CÁLCULO'!E214</f>
        <v>2</v>
      </c>
      <c r="F79" s="109"/>
      <c r="G79" s="94">
        <f t="shared" si="8"/>
        <v>0</v>
      </c>
      <c r="H79" s="94">
        <f t="shared" si="9"/>
        <v>0</v>
      </c>
    </row>
    <row r="80" s="54" customFormat="1" ht="31.5" spans="1:8">
      <c r="A80" s="89" t="s">
        <v>216</v>
      </c>
      <c r="B80" s="83" t="s">
        <v>217</v>
      </c>
      <c r="C80" s="97" t="s">
        <v>218</v>
      </c>
      <c r="D80" s="111" t="s">
        <v>219</v>
      </c>
      <c r="E80" s="110">
        <f>'MEMÓRIA DE CÁLCULO'!E215</f>
        <v>12</v>
      </c>
      <c r="F80" s="109"/>
      <c r="G80" s="94">
        <f t="shared" si="8"/>
        <v>0</v>
      </c>
      <c r="H80" s="94">
        <f t="shared" si="9"/>
        <v>0</v>
      </c>
    </row>
    <row r="81" s="54" customFormat="1" ht="63" spans="1:8">
      <c r="A81" s="89" t="s">
        <v>220</v>
      </c>
      <c r="B81" s="83" t="s">
        <v>221</v>
      </c>
      <c r="C81" s="97" t="s">
        <v>222</v>
      </c>
      <c r="D81" s="77" t="s">
        <v>219</v>
      </c>
      <c r="E81" s="110">
        <f>'MEMÓRIA DE CÁLCULO'!E216</f>
        <v>1</v>
      </c>
      <c r="F81" s="109"/>
      <c r="G81" s="94">
        <f t="shared" si="8"/>
        <v>0</v>
      </c>
      <c r="H81" s="94">
        <f t="shared" si="9"/>
        <v>0</v>
      </c>
    </row>
    <row r="82" s="54" customFormat="1" ht="31.5" spans="1:8">
      <c r="A82" s="89" t="s">
        <v>223</v>
      </c>
      <c r="B82" s="83" t="s">
        <v>224</v>
      </c>
      <c r="C82" s="97" t="s">
        <v>225</v>
      </c>
      <c r="D82" s="111" t="s">
        <v>212</v>
      </c>
      <c r="E82" s="110">
        <f>'MEMÓRIA DE CÁLCULO'!E217</f>
        <v>15</v>
      </c>
      <c r="F82" s="109"/>
      <c r="G82" s="94">
        <f t="shared" si="8"/>
        <v>0</v>
      </c>
      <c r="H82" s="94">
        <f t="shared" si="9"/>
        <v>0</v>
      </c>
    </row>
    <row r="83" s="54" customFormat="1" ht="47.25" spans="1:8">
      <c r="A83" s="89" t="s">
        <v>226</v>
      </c>
      <c r="B83" s="83" t="s">
        <v>227</v>
      </c>
      <c r="C83" s="97" t="s">
        <v>228</v>
      </c>
      <c r="D83" s="111" t="s">
        <v>212</v>
      </c>
      <c r="E83" s="110">
        <f>'MEMÓRIA DE CÁLCULO'!E218</f>
        <v>20</v>
      </c>
      <c r="F83" s="109"/>
      <c r="G83" s="94">
        <f t="shared" si="8"/>
        <v>0</v>
      </c>
      <c r="H83" s="94">
        <f t="shared" si="9"/>
        <v>0</v>
      </c>
    </row>
    <row r="84" s="54" customFormat="1" ht="47.25" spans="1:8">
      <c r="A84" s="89" t="s">
        <v>229</v>
      </c>
      <c r="B84" s="83" t="s">
        <v>230</v>
      </c>
      <c r="C84" s="97" t="s">
        <v>231</v>
      </c>
      <c r="D84" s="77" t="s">
        <v>207</v>
      </c>
      <c r="E84" s="110">
        <f>'MEMÓRIA DE CÁLCULO'!E219</f>
        <v>3000</v>
      </c>
      <c r="F84" s="109"/>
      <c r="G84" s="94">
        <f t="shared" si="8"/>
        <v>0</v>
      </c>
      <c r="H84" s="94">
        <f t="shared" si="9"/>
        <v>0</v>
      </c>
    </row>
    <row r="85" s="54" customFormat="1" ht="47.25" spans="1:8">
      <c r="A85" s="89" t="s">
        <v>232</v>
      </c>
      <c r="B85" s="83" t="s">
        <v>233</v>
      </c>
      <c r="C85" s="97" t="s">
        <v>234</v>
      </c>
      <c r="D85" s="111" t="s">
        <v>207</v>
      </c>
      <c r="E85" s="110">
        <f>'MEMÓRIA DE CÁLCULO'!E220</f>
        <v>70</v>
      </c>
      <c r="F85" s="109"/>
      <c r="G85" s="94">
        <f t="shared" si="8"/>
        <v>0</v>
      </c>
      <c r="H85" s="94">
        <f t="shared" si="9"/>
        <v>0</v>
      </c>
    </row>
    <row r="86" s="54" customFormat="1" ht="47.25" spans="1:8">
      <c r="A86" s="89" t="s">
        <v>235</v>
      </c>
      <c r="B86" s="83" t="s">
        <v>236</v>
      </c>
      <c r="C86" s="97" t="s">
        <v>237</v>
      </c>
      <c r="D86" s="111" t="s">
        <v>207</v>
      </c>
      <c r="E86" s="110">
        <f>'MEMÓRIA DE CÁLCULO'!E221</f>
        <v>115</v>
      </c>
      <c r="F86" s="109"/>
      <c r="G86" s="94">
        <f t="shared" si="8"/>
        <v>0</v>
      </c>
      <c r="H86" s="94">
        <f t="shared" si="9"/>
        <v>0</v>
      </c>
    </row>
    <row r="87" s="54" customFormat="1" ht="47.25" spans="1:8">
      <c r="A87" s="89" t="s">
        <v>238</v>
      </c>
      <c r="B87" s="83" t="s">
        <v>239</v>
      </c>
      <c r="C87" s="97" t="s">
        <v>240</v>
      </c>
      <c r="D87" s="111" t="s">
        <v>207</v>
      </c>
      <c r="E87" s="110">
        <f>'MEMÓRIA DE CÁLCULO'!E222</f>
        <v>90</v>
      </c>
      <c r="F87" s="109"/>
      <c r="G87" s="94">
        <f t="shared" si="8"/>
        <v>0</v>
      </c>
      <c r="H87" s="94">
        <f t="shared" si="9"/>
        <v>0</v>
      </c>
    </row>
    <row r="88" s="54" customFormat="1" ht="31.5" spans="1:8">
      <c r="A88" s="89" t="s">
        <v>241</v>
      </c>
      <c r="B88" s="83" t="s">
        <v>242</v>
      </c>
      <c r="C88" s="97" t="s">
        <v>243</v>
      </c>
      <c r="D88" s="111" t="s">
        <v>212</v>
      </c>
      <c r="E88" s="110">
        <f>'MEMÓRIA DE CÁLCULO'!E223</f>
        <v>1</v>
      </c>
      <c r="F88" s="109"/>
      <c r="G88" s="94">
        <f t="shared" si="8"/>
        <v>0</v>
      </c>
      <c r="H88" s="94">
        <f t="shared" si="9"/>
        <v>0</v>
      </c>
    </row>
    <row r="89" s="54" customFormat="1" ht="47.25" spans="1:8">
      <c r="A89" s="89" t="s">
        <v>244</v>
      </c>
      <c r="B89" s="83" t="s">
        <v>245</v>
      </c>
      <c r="C89" s="97" t="s">
        <v>246</v>
      </c>
      <c r="D89" s="111" t="s">
        <v>212</v>
      </c>
      <c r="E89" s="110">
        <f>'MEMÓRIA DE CÁLCULO'!E224</f>
        <v>20</v>
      </c>
      <c r="F89" s="109"/>
      <c r="G89" s="94">
        <f t="shared" si="8"/>
        <v>0</v>
      </c>
      <c r="H89" s="94">
        <f t="shared" si="9"/>
        <v>0</v>
      </c>
    </row>
    <row r="90" s="54" customFormat="1" ht="31.5" spans="1:8">
      <c r="A90" s="89" t="s">
        <v>247</v>
      </c>
      <c r="B90" s="83" t="s">
        <v>248</v>
      </c>
      <c r="C90" s="97" t="s">
        <v>249</v>
      </c>
      <c r="D90" s="111" t="s">
        <v>212</v>
      </c>
      <c r="E90" s="110">
        <f>'MEMÓRIA DE CÁLCULO'!E225</f>
        <v>10</v>
      </c>
      <c r="F90" s="109"/>
      <c r="G90" s="94">
        <f t="shared" si="8"/>
        <v>0</v>
      </c>
      <c r="H90" s="94">
        <f t="shared" si="9"/>
        <v>0</v>
      </c>
    </row>
    <row r="91" s="54" customFormat="1" ht="47.25" spans="1:8">
      <c r="A91" s="89" t="s">
        <v>250</v>
      </c>
      <c r="B91" s="83" t="s">
        <v>251</v>
      </c>
      <c r="C91" s="97" t="s">
        <v>252</v>
      </c>
      <c r="D91" s="111" t="s">
        <v>212</v>
      </c>
      <c r="E91" s="110">
        <f>'MEMÓRIA DE CÁLCULO'!E226</f>
        <v>2</v>
      </c>
      <c r="F91" s="109"/>
      <c r="G91" s="94">
        <f t="shared" si="8"/>
        <v>0</v>
      </c>
      <c r="H91" s="94">
        <f t="shared" si="9"/>
        <v>0</v>
      </c>
    </row>
    <row r="92" s="54" customFormat="1" ht="31.5" spans="1:8">
      <c r="A92" s="89" t="s">
        <v>253</v>
      </c>
      <c r="B92" s="83" t="s">
        <v>254</v>
      </c>
      <c r="C92" s="112" t="s">
        <v>255</v>
      </c>
      <c r="D92" s="111" t="s">
        <v>212</v>
      </c>
      <c r="E92" s="110">
        <f>'MEMÓRIA DE CÁLCULO'!E227</f>
        <v>1</v>
      </c>
      <c r="F92" s="109"/>
      <c r="G92" s="94">
        <f t="shared" si="8"/>
        <v>0</v>
      </c>
      <c r="H92" s="94">
        <f t="shared" si="9"/>
        <v>0</v>
      </c>
    </row>
    <row r="93" s="54" customFormat="1" ht="31.5" spans="1:8">
      <c r="A93" s="89" t="s">
        <v>256</v>
      </c>
      <c r="B93" s="83" t="s">
        <v>254</v>
      </c>
      <c r="C93" s="112" t="s">
        <v>257</v>
      </c>
      <c r="D93" s="111" t="s">
        <v>212</v>
      </c>
      <c r="E93" s="110">
        <f>'MEMÓRIA DE CÁLCULO'!E228</f>
        <v>1</v>
      </c>
      <c r="F93" s="109"/>
      <c r="G93" s="94">
        <f t="shared" si="8"/>
        <v>0</v>
      </c>
      <c r="H93" s="94">
        <f t="shared" si="9"/>
        <v>0</v>
      </c>
    </row>
    <row r="94" s="54" customFormat="1" ht="9.65" customHeight="1" spans="1:8">
      <c r="A94" s="89"/>
      <c r="B94" s="107"/>
      <c r="C94" s="113"/>
      <c r="D94" s="114"/>
      <c r="E94" s="110"/>
      <c r="F94" s="109"/>
      <c r="G94" s="94"/>
      <c r="H94" s="93"/>
    </row>
    <row r="95" s="54" customFormat="1" ht="28.5" customHeight="1" spans="1:8">
      <c r="A95" s="69" t="s">
        <v>30</v>
      </c>
      <c r="B95" s="70" t="s">
        <v>258</v>
      </c>
      <c r="C95" s="70"/>
      <c r="D95" s="70"/>
      <c r="E95" s="70"/>
      <c r="F95" s="70"/>
      <c r="G95" s="70"/>
      <c r="H95" s="71">
        <f>SUM(H96:H101)</f>
        <v>0</v>
      </c>
    </row>
    <row r="96" s="54" customFormat="1" ht="47.25" spans="1:8">
      <c r="A96" s="92" t="s">
        <v>259</v>
      </c>
      <c r="B96" s="83" t="s">
        <v>260</v>
      </c>
      <c r="C96" s="112" t="s">
        <v>261</v>
      </c>
      <c r="D96" s="96" t="s">
        <v>207</v>
      </c>
      <c r="E96" s="115">
        <f>'MEMÓRIA DE CÁLCULO'!E231</f>
        <v>20</v>
      </c>
      <c r="F96" s="116"/>
      <c r="G96" s="94">
        <f t="shared" ref="G96:G101" si="10">TRUNC(F96+F96*$H$7,2)</f>
        <v>0</v>
      </c>
      <c r="H96" s="94">
        <f t="shared" ref="H96:H101" si="11">TRUNC(E96*G96,2)</f>
        <v>0</v>
      </c>
    </row>
    <row r="97" s="54" customFormat="1" ht="31.5" spans="1:8">
      <c r="A97" s="92" t="s">
        <v>262</v>
      </c>
      <c r="B97" s="83" t="s">
        <v>263</v>
      </c>
      <c r="C97" s="117" t="s">
        <v>264</v>
      </c>
      <c r="D97" s="96" t="s">
        <v>265</v>
      </c>
      <c r="E97" s="115">
        <f>'MEMÓRIA DE CÁLCULO'!E232</f>
        <v>6</v>
      </c>
      <c r="F97" s="116"/>
      <c r="G97" s="94">
        <f t="shared" si="10"/>
        <v>0</v>
      </c>
      <c r="H97" s="94">
        <f t="shared" si="11"/>
        <v>0</v>
      </c>
    </row>
    <row r="98" s="54" customFormat="1" ht="47.25" spans="1:8">
      <c r="A98" s="92" t="s">
        <v>266</v>
      </c>
      <c r="B98" s="83" t="s">
        <v>267</v>
      </c>
      <c r="C98" s="117" t="s">
        <v>268</v>
      </c>
      <c r="D98" s="96" t="s">
        <v>265</v>
      </c>
      <c r="E98" s="115">
        <f>'MEMÓRIA DE CÁLCULO'!E233</f>
        <v>3</v>
      </c>
      <c r="F98" s="116"/>
      <c r="G98" s="94">
        <f t="shared" si="10"/>
        <v>0</v>
      </c>
      <c r="H98" s="94">
        <f t="shared" si="11"/>
        <v>0</v>
      </c>
    </row>
    <row r="99" s="54" customFormat="1" ht="31.5" spans="1:8">
      <c r="A99" s="92" t="s">
        <v>269</v>
      </c>
      <c r="B99" s="83" t="s">
        <v>270</v>
      </c>
      <c r="C99" s="117" t="s">
        <v>271</v>
      </c>
      <c r="D99" s="96" t="s">
        <v>272</v>
      </c>
      <c r="E99" s="115">
        <f>'MEMÓRIA DE CÁLCULO'!E234</f>
        <v>1</v>
      </c>
      <c r="F99" s="116"/>
      <c r="G99" s="94">
        <f t="shared" si="10"/>
        <v>0</v>
      </c>
      <c r="H99" s="94">
        <f t="shared" si="11"/>
        <v>0</v>
      </c>
    </row>
    <row r="100" s="54" customFormat="1" ht="31.5" spans="1:8">
      <c r="A100" s="92" t="s">
        <v>273</v>
      </c>
      <c r="B100" s="83" t="s">
        <v>274</v>
      </c>
      <c r="C100" s="117" t="s">
        <v>275</v>
      </c>
      <c r="D100" s="96" t="s">
        <v>265</v>
      </c>
      <c r="E100" s="115">
        <f>'MEMÓRIA DE CÁLCULO'!E235</f>
        <v>1</v>
      </c>
      <c r="F100" s="116"/>
      <c r="G100" s="94">
        <f t="shared" si="10"/>
        <v>0</v>
      </c>
      <c r="H100" s="94">
        <f t="shared" si="11"/>
        <v>0</v>
      </c>
    </row>
    <row r="101" s="54" customFormat="1" ht="31.5" spans="1:8">
      <c r="A101" s="92" t="s">
        <v>276</v>
      </c>
      <c r="B101" s="83" t="s">
        <v>277</v>
      </c>
      <c r="C101" s="117" t="s">
        <v>278</v>
      </c>
      <c r="D101" s="96" t="s">
        <v>272</v>
      </c>
      <c r="E101" s="115">
        <f>'MEMÓRIA DE CÁLCULO'!E236</f>
        <v>1</v>
      </c>
      <c r="F101" s="116"/>
      <c r="G101" s="94">
        <f t="shared" si="10"/>
        <v>0</v>
      </c>
      <c r="H101" s="94">
        <f t="shared" si="11"/>
        <v>0</v>
      </c>
    </row>
    <row r="102" s="54" customFormat="1" ht="9.65" customHeight="1" spans="1:8">
      <c r="A102" s="92"/>
      <c r="B102" s="107"/>
      <c r="C102" s="91"/>
      <c r="D102" s="89"/>
      <c r="E102" s="115"/>
      <c r="F102" s="116"/>
      <c r="G102" s="94"/>
      <c r="H102" s="94"/>
    </row>
    <row r="103" s="54" customFormat="1" ht="26.25" customHeight="1" spans="1:8">
      <c r="A103" s="69" t="s">
        <v>32</v>
      </c>
      <c r="B103" s="70" t="s">
        <v>279</v>
      </c>
      <c r="C103" s="70"/>
      <c r="D103" s="70"/>
      <c r="E103" s="70"/>
      <c r="F103" s="70"/>
      <c r="G103" s="70"/>
      <c r="H103" s="71">
        <f>SUM(H104:H113)</f>
        <v>0</v>
      </c>
    </row>
    <row r="104" s="54" customFormat="1" ht="31.5" spans="1:8">
      <c r="A104" s="92" t="s">
        <v>280</v>
      </c>
      <c r="B104" s="83" t="s">
        <v>107</v>
      </c>
      <c r="C104" s="86" t="s">
        <v>136</v>
      </c>
      <c r="D104" s="77" t="s">
        <v>66</v>
      </c>
      <c r="E104" s="115">
        <f>'MEMÓRIA DE CÁLCULO'!E239</f>
        <v>59.2</v>
      </c>
      <c r="F104" s="116"/>
      <c r="G104" s="94">
        <f t="shared" ref="G104:G113" si="12">TRUNC(F104+F104*$H$7,2)</f>
        <v>0</v>
      </c>
      <c r="H104" s="94">
        <f t="shared" ref="H104:H113" si="13">TRUNC(E104*G104,2)</f>
        <v>0</v>
      </c>
    </row>
    <row r="105" s="54" customFormat="1" ht="31.5" spans="1:8">
      <c r="A105" s="92" t="s">
        <v>281</v>
      </c>
      <c r="B105" s="83" t="s">
        <v>282</v>
      </c>
      <c r="C105" s="95" t="s">
        <v>283</v>
      </c>
      <c r="D105" s="96" t="s">
        <v>207</v>
      </c>
      <c r="E105" s="115">
        <f>'MEMÓRIA DE CÁLCULO'!E240</f>
        <v>148</v>
      </c>
      <c r="F105" s="116"/>
      <c r="G105" s="94">
        <f t="shared" si="12"/>
        <v>0</v>
      </c>
      <c r="H105" s="94">
        <f t="shared" si="13"/>
        <v>0</v>
      </c>
    </row>
    <row r="106" s="54" customFormat="1" ht="63" spans="1:8">
      <c r="A106" s="92" t="s">
        <v>284</v>
      </c>
      <c r="B106" s="83" t="s">
        <v>285</v>
      </c>
      <c r="C106" s="95" t="s">
        <v>286</v>
      </c>
      <c r="D106" s="96" t="s">
        <v>212</v>
      </c>
      <c r="E106" s="118">
        <f>'MEMÓRIA DE CÁLCULO'!E241</f>
        <v>10</v>
      </c>
      <c r="F106" s="109"/>
      <c r="G106" s="94">
        <f t="shared" si="12"/>
        <v>0</v>
      </c>
      <c r="H106" s="94">
        <f t="shared" si="13"/>
        <v>0</v>
      </c>
    </row>
    <row r="107" s="54" customFormat="1" ht="63" spans="1:8">
      <c r="A107" s="92" t="s">
        <v>287</v>
      </c>
      <c r="B107" s="83" t="s">
        <v>288</v>
      </c>
      <c r="C107" s="95" t="s">
        <v>289</v>
      </c>
      <c r="D107" s="96" t="s">
        <v>265</v>
      </c>
      <c r="E107" s="118">
        <f>'MEMÓRIA DE CÁLCULO'!E242</f>
        <v>1</v>
      </c>
      <c r="F107" s="109"/>
      <c r="G107" s="94">
        <f t="shared" si="12"/>
        <v>0</v>
      </c>
      <c r="H107" s="94">
        <f t="shared" si="13"/>
        <v>0</v>
      </c>
    </row>
    <row r="108" s="54" customFormat="1" ht="47.25" spans="1:8">
      <c r="A108" s="92" t="s">
        <v>290</v>
      </c>
      <c r="B108" s="83" t="s">
        <v>291</v>
      </c>
      <c r="C108" s="95" t="str">
        <f>'Composições de Custo'!C45</f>
        <v>FORNECIMENTO E INSTALAÇÃO DE MOTOBOMBA CENTRÍFUGA SUBMERSÍVEL PARA REALIZAR O RECALQUE DE ESGOTO SANITÁRIO, TENSÃO 220 V, VAZÃO 20 M³/H, POTÊNCIA 1,0 CV, RECALQUE 2" MODELO SCHNAIDER SÉRIE BCS OU SIMILAR</v>
      </c>
      <c r="D108" s="96" t="s">
        <v>292</v>
      </c>
      <c r="E108" s="115">
        <f>'MEMÓRIA DE CÁLCULO'!E243</f>
        <v>1</v>
      </c>
      <c r="F108" s="116"/>
      <c r="G108" s="94">
        <f t="shared" si="12"/>
        <v>0</v>
      </c>
      <c r="H108" s="94">
        <f t="shared" si="13"/>
        <v>0</v>
      </c>
    </row>
    <row r="109" s="54" customFormat="1" ht="63" spans="1:8">
      <c r="A109" s="92" t="s">
        <v>293</v>
      </c>
      <c r="B109" s="83" t="s">
        <v>294</v>
      </c>
      <c r="C109" s="74" t="s">
        <v>295</v>
      </c>
      <c r="D109" s="111" t="s">
        <v>56</v>
      </c>
      <c r="E109" s="110">
        <f>'MEMÓRIA DE CÁLCULO'!E244</f>
        <v>458.8</v>
      </c>
      <c r="F109" s="109"/>
      <c r="G109" s="94">
        <f t="shared" si="12"/>
        <v>0</v>
      </c>
      <c r="H109" s="94">
        <f t="shared" si="13"/>
        <v>0</v>
      </c>
    </row>
    <row r="110" s="54" customFormat="1" ht="37" customHeight="1" spans="1:8">
      <c r="A110" s="92" t="s">
        <v>296</v>
      </c>
      <c r="B110" s="73" t="s">
        <v>297</v>
      </c>
      <c r="C110" s="74" t="s">
        <v>298</v>
      </c>
      <c r="D110" s="111" t="s">
        <v>66</v>
      </c>
      <c r="E110" s="110">
        <f>'MEMÓRIA DE CÁLCULO'!E245</f>
        <v>29.6</v>
      </c>
      <c r="F110" s="109"/>
      <c r="G110" s="94">
        <f t="shared" si="12"/>
        <v>0</v>
      </c>
      <c r="H110" s="94">
        <f t="shared" si="13"/>
        <v>0</v>
      </c>
    </row>
    <row r="111" s="54" customFormat="1" ht="37" customHeight="1" spans="1:8">
      <c r="A111" s="92" t="s">
        <v>299</v>
      </c>
      <c r="B111" s="83" t="s">
        <v>300</v>
      </c>
      <c r="C111" s="74" t="s">
        <v>301</v>
      </c>
      <c r="D111" s="77" t="s">
        <v>66</v>
      </c>
      <c r="E111" s="119">
        <f>'MEMÓRIA DE CÁLCULO'!E246</f>
        <v>29.6</v>
      </c>
      <c r="F111" s="93"/>
      <c r="G111" s="94">
        <f t="shared" si="12"/>
        <v>0</v>
      </c>
      <c r="H111" s="94">
        <f t="shared" si="13"/>
        <v>0</v>
      </c>
    </row>
    <row r="112" s="54" customFormat="1" ht="37" customHeight="1" spans="1:8">
      <c r="A112" s="92" t="s">
        <v>302</v>
      </c>
      <c r="B112" s="78" t="s">
        <v>140</v>
      </c>
      <c r="C112" s="74" t="s">
        <v>141</v>
      </c>
      <c r="D112" s="96" t="s">
        <v>66</v>
      </c>
      <c r="E112" s="119">
        <f>'MEMÓRIA DE CÁLCULO'!E247</f>
        <v>14.8</v>
      </c>
      <c r="F112" s="93"/>
      <c r="G112" s="94">
        <f t="shared" si="12"/>
        <v>0</v>
      </c>
      <c r="H112" s="94">
        <f t="shared" si="13"/>
        <v>0</v>
      </c>
    </row>
    <row r="113" s="54" customFormat="1" ht="28" customHeight="1" spans="1:8">
      <c r="A113" s="92" t="s">
        <v>303</v>
      </c>
      <c r="B113" s="78" t="s">
        <v>304</v>
      </c>
      <c r="C113" s="74" t="s">
        <v>305</v>
      </c>
      <c r="D113" s="89" t="s">
        <v>306</v>
      </c>
      <c r="E113" s="119">
        <f>'MEMÓRIA DE CÁLCULO'!E248</f>
        <v>3.7</v>
      </c>
      <c r="F113" s="93"/>
      <c r="G113" s="94">
        <f t="shared" si="12"/>
        <v>0</v>
      </c>
      <c r="H113" s="94">
        <f t="shared" si="13"/>
        <v>0</v>
      </c>
    </row>
    <row r="114" s="54" customFormat="1" ht="9.65" customHeight="1" spans="1:8">
      <c r="A114" s="92"/>
      <c r="B114" s="90"/>
      <c r="C114" s="104"/>
      <c r="D114" s="89"/>
      <c r="E114" s="119"/>
      <c r="F114" s="93"/>
      <c r="G114" s="94"/>
      <c r="H114" s="94"/>
    </row>
    <row r="115" s="54" customFormat="1" ht="33" customHeight="1" spans="1:8">
      <c r="A115" s="69" t="s">
        <v>34</v>
      </c>
      <c r="B115" s="70" t="s">
        <v>307</v>
      </c>
      <c r="C115" s="70"/>
      <c r="D115" s="70"/>
      <c r="E115" s="70"/>
      <c r="F115" s="70"/>
      <c r="G115" s="70"/>
      <c r="H115" s="71">
        <f>SUM(H116:H122)</f>
        <v>0</v>
      </c>
    </row>
    <row r="116" s="54" customFormat="1" ht="25" customHeight="1" spans="1:8">
      <c r="A116" s="92" t="s">
        <v>308</v>
      </c>
      <c r="B116" s="83" t="s">
        <v>100</v>
      </c>
      <c r="C116" s="74" t="s">
        <v>309</v>
      </c>
      <c r="D116" s="77" t="s">
        <v>66</v>
      </c>
      <c r="E116" s="119">
        <f>'MEMÓRIA DE CÁLCULO'!E251</f>
        <v>0.74</v>
      </c>
      <c r="F116" s="93"/>
      <c r="G116" s="94">
        <f t="shared" ref="G116:G122" si="14">TRUNC(F116+F116*$H$7,2)</f>
        <v>0</v>
      </c>
      <c r="H116" s="94">
        <f t="shared" ref="H116:H122" si="15">TRUNC(E116*G116,2)</f>
        <v>0</v>
      </c>
    </row>
    <row r="117" s="54" customFormat="1" ht="38" customHeight="1" spans="1:8">
      <c r="A117" s="92" t="s">
        <v>310</v>
      </c>
      <c r="B117" s="78" t="s">
        <v>311</v>
      </c>
      <c r="C117" s="74" t="s">
        <v>312</v>
      </c>
      <c r="D117" s="96" t="s">
        <v>56</v>
      </c>
      <c r="E117" s="119">
        <f>'MEMÓRIA DE CÁLCULO'!E252</f>
        <v>15</v>
      </c>
      <c r="F117" s="93"/>
      <c r="G117" s="94">
        <f t="shared" si="14"/>
        <v>0</v>
      </c>
      <c r="H117" s="94">
        <f t="shared" si="15"/>
        <v>0</v>
      </c>
    </row>
    <row r="118" s="54" customFormat="1" ht="39" customHeight="1" spans="1:8">
      <c r="A118" s="92" t="s">
        <v>313</v>
      </c>
      <c r="B118" s="78" t="s">
        <v>314</v>
      </c>
      <c r="C118" s="74" t="s">
        <v>315</v>
      </c>
      <c r="D118" s="96" t="s">
        <v>56</v>
      </c>
      <c r="E118" s="119">
        <f>'MEMÓRIA DE CÁLCULO'!E253</f>
        <v>6</v>
      </c>
      <c r="F118" s="93"/>
      <c r="G118" s="94">
        <f t="shared" si="14"/>
        <v>0</v>
      </c>
      <c r="H118" s="94">
        <f t="shared" si="15"/>
        <v>0</v>
      </c>
    </row>
    <row r="119" s="54" customFormat="1" ht="70" customHeight="1" spans="1:8">
      <c r="A119" s="92" t="s">
        <v>316</v>
      </c>
      <c r="B119" s="78" t="s">
        <v>317</v>
      </c>
      <c r="C119" s="74" t="s">
        <v>318</v>
      </c>
      <c r="D119" s="96" t="s">
        <v>56</v>
      </c>
      <c r="E119" s="119">
        <f>'MEMÓRIA DE CÁLCULO'!E254</f>
        <v>21</v>
      </c>
      <c r="F119" s="93"/>
      <c r="G119" s="94">
        <f t="shared" si="14"/>
        <v>0</v>
      </c>
      <c r="H119" s="94">
        <f t="shared" si="15"/>
        <v>0</v>
      </c>
    </row>
    <row r="120" s="54" customFormat="1" ht="51" customHeight="1" spans="1:8">
      <c r="A120" s="92" t="s">
        <v>319</v>
      </c>
      <c r="B120" s="83" t="s">
        <v>347</v>
      </c>
      <c r="C120" s="74" t="s">
        <v>321</v>
      </c>
      <c r="D120" s="96" t="s">
        <v>207</v>
      </c>
      <c r="E120" s="119">
        <f>'MEMÓRIA DE CÁLCULO'!E255</f>
        <v>20</v>
      </c>
      <c r="F120" s="93"/>
      <c r="G120" s="94">
        <f t="shared" si="14"/>
        <v>0</v>
      </c>
      <c r="H120" s="94">
        <f t="shared" si="15"/>
        <v>0</v>
      </c>
    </row>
    <row r="121" s="54" customFormat="1" ht="38" customHeight="1" spans="1:8">
      <c r="A121" s="92" t="s">
        <v>322</v>
      </c>
      <c r="B121" s="78" t="s">
        <v>323</v>
      </c>
      <c r="C121" s="74" t="s">
        <v>324</v>
      </c>
      <c r="D121" s="96" t="s">
        <v>56</v>
      </c>
      <c r="E121" s="119">
        <f>'MEMÓRIA DE CÁLCULO'!E256</f>
        <v>7.36</v>
      </c>
      <c r="F121" s="93"/>
      <c r="G121" s="94">
        <f t="shared" si="14"/>
        <v>0</v>
      </c>
      <c r="H121" s="94">
        <f t="shared" si="15"/>
        <v>0</v>
      </c>
    </row>
    <row r="122" s="54" customFormat="1" ht="31.5" spans="1:8">
      <c r="A122" s="92" t="s">
        <v>325</v>
      </c>
      <c r="B122" s="78" t="s">
        <v>140</v>
      </c>
      <c r="C122" s="97" t="s">
        <v>141</v>
      </c>
      <c r="D122" s="96" t="s">
        <v>66</v>
      </c>
      <c r="E122" s="119">
        <f>'MEMÓRIA DE CÁLCULO'!E257</f>
        <v>5.4</v>
      </c>
      <c r="F122" s="93"/>
      <c r="G122" s="94">
        <f t="shared" si="14"/>
        <v>0</v>
      </c>
      <c r="H122" s="94">
        <f t="shared" si="15"/>
        <v>0</v>
      </c>
    </row>
    <row r="123" s="54" customFormat="1" ht="9.65" customHeight="1" spans="1:8">
      <c r="A123" s="92"/>
      <c r="B123" s="90"/>
      <c r="C123" s="104"/>
      <c r="D123" s="89"/>
      <c r="E123" s="119"/>
      <c r="F123" s="93"/>
      <c r="G123" s="94"/>
      <c r="H123" s="94"/>
    </row>
    <row r="124" s="54" customFormat="1" ht="31.5" customHeight="1" spans="1:8">
      <c r="A124" s="69" t="s">
        <v>36</v>
      </c>
      <c r="B124" s="70" t="s">
        <v>326</v>
      </c>
      <c r="C124" s="70"/>
      <c r="D124" s="70"/>
      <c r="E124" s="70"/>
      <c r="F124" s="70"/>
      <c r="G124" s="70"/>
      <c r="H124" s="71">
        <f>SUM(H125:H136)</f>
        <v>0</v>
      </c>
    </row>
    <row r="125" s="54" customFormat="1" ht="31.5" spans="1:8">
      <c r="A125" s="92" t="s">
        <v>327</v>
      </c>
      <c r="B125" s="83" t="s">
        <v>107</v>
      </c>
      <c r="C125" s="74" t="s">
        <v>328</v>
      </c>
      <c r="D125" s="77" t="s">
        <v>66</v>
      </c>
      <c r="E125" s="119">
        <f>'MEMÓRIA DE CÁLCULO'!E260</f>
        <v>16.52</v>
      </c>
      <c r="F125" s="93"/>
      <c r="G125" s="94">
        <f t="shared" ref="G125:G136" si="16">TRUNC(F125+F125*$H$7,2)</f>
        <v>0</v>
      </c>
      <c r="H125" s="94">
        <f t="shared" ref="H125:H136" si="17">TRUNC(E125*G125,2)</f>
        <v>0</v>
      </c>
    </row>
    <row r="126" s="54" customFormat="1" ht="36" customHeight="1" spans="1:8">
      <c r="A126" s="92" t="s">
        <v>329</v>
      </c>
      <c r="B126" s="83" t="s">
        <v>145</v>
      </c>
      <c r="C126" s="86" t="s">
        <v>330</v>
      </c>
      <c r="D126" s="77" t="s">
        <v>66</v>
      </c>
      <c r="E126" s="119">
        <f>'MEMÓRIA DE CÁLCULO'!E263</f>
        <v>0.82</v>
      </c>
      <c r="F126" s="93"/>
      <c r="G126" s="94">
        <f t="shared" si="16"/>
        <v>0</v>
      </c>
      <c r="H126" s="94">
        <f t="shared" si="17"/>
        <v>0</v>
      </c>
    </row>
    <row r="127" s="54" customFormat="1" ht="35" customHeight="1" spans="1:8">
      <c r="A127" s="92" t="s">
        <v>331</v>
      </c>
      <c r="B127" s="83" t="s">
        <v>332</v>
      </c>
      <c r="C127" s="86" t="s">
        <v>333</v>
      </c>
      <c r="D127" s="77" t="s">
        <v>66</v>
      </c>
      <c r="E127" s="119">
        <f>'MEMÓRIA DE CÁLCULO'!E266</f>
        <v>0.82</v>
      </c>
      <c r="F127" s="93"/>
      <c r="G127" s="94">
        <f t="shared" si="16"/>
        <v>0</v>
      </c>
      <c r="H127" s="94">
        <f t="shared" si="17"/>
        <v>0</v>
      </c>
    </row>
    <row r="128" s="54" customFormat="1" ht="47.25" spans="1:8">
      <c r="A128" s="92" t="s">
        <v>334</v>
      </c>
      <c r="B128" s="83" t="s">
        <v>335</v>
      </c>
      <c r="C128" s="86" t="s">
        <v>336</v>
      </c>
      <c r="D128" s="96" t="s">
        <v>66</v>
      </c>
      <c r="E128" s="119">
        <f>'MEMÓRIA DE CÁLCULO'!E269</f>
        <v>0.2</v>
      </c>
      <c r="F128" s="93"/>
      <c r="G128" s="94">
        <f t="shared" si="16"/>
        <v>0</v>
      </c>
      <c r="H128" s="94">
        <f t="shared" si="17"/>
        <v>0</v>
      </c>
    </row>
    <row r="129" s="54" customFormat="1" ht="37" customHeight="1" spans="1:8">
      <c r="A129" s="92" t="s">
        <v>337</v>
      </c>
      <c r="B129" s="83" t="s">
        <v>338</v>
      </c>
      <c r="C129" s="86" t="s">
        <v>339</v>
      </c>
      <c r="D129" s="96" t="s">
        <v>56</v>
      </c>
      <c r="E129" s="119">
        <f>'MEMÓRIA DE CÁLCULO'!E270</f>
        <v>22.08</v>
      </c>
      <c r="F129" s="93"/>
      <c r="G129" s="94">
        <f t="shared" si="16"/>
        <v>0</v>
      </c>
      <c r="H129" s="94">
        <f t="shared" si="17"/>
        <v>0</v>
      </c>
    </row>
    <row r="130" s="54" customFormat="1" ht="38" customHeight="1" spans="1:8">
      <c r="A130" s="92" t="s">
        <v>340</v>
      </c>
      <c r="B130" s="83" t="s">
        <v>341</v>
      </c>
      <c r="C130" s="86" t="s">
        <v>342</v>
      </c>
      <c r="D130" s="96" t="s">
        <v>56</v>
      </c>
      <c r="E130" s="119">
        <f>'MEMÓRIA DE CÁLCULO'!E273</f>
        <v>7.66</v>
      </c>
      <c r="F130" s="93"/>
      <c r="G130" s="94">
        <f t="shared" si="16"/>
        <v>0</v>
      </c>
      <c r="H130" s="94">
        <f t="shared" si="17"/>
        <v>0</v>
      </c>
    </row>
    <row r="131" s="54" customFormat="1" ht="63" spans="1:8">
      <c r="A131" s="92" t="s">
        <v>343</v>
      </c>
      <c r="B131" s="83" t="s">
        <v>344</v>
      </c>
      <c r="C131" s="86" t="s">
        <v>345</v>
      </c>
      <c r="D131" s="96" t="s">
        <v>212</v>
      </c>
      <c r="E131" s="119">
        <f>'MEMÓRIA DE CÁLCULO'!E276</f>
        <v>1</v>
      </c>
      <c r="F131" s="93"/>
      <c r="G131" s="94">
        <f t="shared" si="16"/>
        <v>0</v>
      </c>
      <c r="H131" s="94">
        <f t="shared" si="17"/>
        <v>0</v>
      </c>
    </row>
    <row r="132" s="54" customFormat="1" ht="47.25" spans="1:8">
      <c r="A132" s="92" t="s">
        <v>346</v>
      </c>
      <c r="B132" s="83" t="s">
        <v>347</v>
      </c>
      <c r="C132" s="74" t="s">
        <v>321</v>
      </c>
      <c r="D132" s="96" t="s">
        <v>219</v>
      </c>
      <c r="E132" s="119">
        <f>'MEMÓRIA DE CÁLCULO'!E277</f>
        <v>12</v>
      </c>
      <c r="F132" s="93"/>
      <c r="G132" s="94">
        <f t="shared" si="16"/>
        <v>0</v>
      </c>
      <c r="H132" s="94">
        <f t="shared" si="17"/>
        <v>0</v>
      </c>
    </row>
    <row r="133" s="54" customFormat="1" ht="47.25" spans="1:8">
      <c r="A133" s="92" t="s">
        <v>348</v>
      </c>
      <c r="B133" s="83" t="s">
        <v>291</v>
      </c>
      <c r="C133" s="95" t="str">
        <f>'Composições de Custo'!C45</f>
        <v>FORNECIMENTO E INSTALAÇÃO DE MOTOBOMBA CENTRÍFUGA SUBMERSÍVEL PARA REALIZAR O RECALQUE DE ESGOTO SANITÁRIO, TENSÃO 220 V, VAZÃO 20 M³/H, POTÊNCIA 1,0 CV, RECALQUE 2" MODELO SCHNAIDER SÉRIE BCS OU SIMILAR</v>
      </c>
      <c r="D133" s="96" t="s">
        <v>292</v>
      </c>
      <c r="E133" s="115">
        <f>'MEMÓRIA DE CÁLCULO'!E278</f>
        <v>1</v>
      </c>
      <c r="F133" s="116"/>
      <c r="G133" s="94">
        <f t="shared" si="16"/>
        <v>0</v>
      </c>
      <c r="H133" s="94">
        <f t="shared" si="17"/>
        <v>0</v>
      </c>
    </row>
    <row r="134" s="54" customFormat="1" ht="37" customHeight="1" spans="1:8">
      <c r="A134" s="92" t="s">
        <v>349</v>
      </c>
      <c r="B134" s="83" t="s">
        <v>300</v>
      </c>
      <c r="C134" s="95" t="s">
        <v>301</v>
      </c>
      <c r="D134" s="96" t="s">
        <v>66</v>
      </c>
      <c r="E134" s="119">
        <f>'MEMÓRIA DE CÁLCULO'!E279</f>
        <v>3.18</v>
      </c>
      <c r="F134" s="93"/>
      <c r="G134" s="94">
        <f t="shared" si="16"/>
        <v>0</v>
      </c>
      <c r="H134" s="94">
        <f t="shared" si="17"/>
        <v>0</v>
      </c>
    </row>
    <row r="135" s="54" customFormat="1" ht="36" customHeight="1" spans="1:8">
      <c r="A135" s="92" t="s">
        <v>350</v>
      </c>
      <c r="B135" s="78" t="s">
        <v>140</v>
      </c>
      <c r="C135" s="95" t="s">
        <v>141</v>
      </c>
      <c r="D135" s="96" t="s">
        <v>66</v>
      </c>
      <c r="E135" s="119">
        <f>'MEMÓRIA DE CÁLCULO'!E280</f>
        <v>5</v>
      </c>
      <c r="F135" s="93"/>
      <c r="G135" s="94">
        <f t="shared" si="16"/>
        <v>0</v>
      </c>
      <c r="H135" s="94">
        <f t="shared" si="17"/>
        <v>0</v>
      </c>
    </row>
    <row r="136" s="54" customFormat="1" ht="37" customHeight="1" spans="1:8">
      <c r="A136" s="92" t="s">
        <v>351</v>
      </c>
      <c r="B136" s="78" t="s">
        <v>352</v>
      </c>
      <c r="C136" s="95" t="s">
        <v>353</v>
      </c>
      <c r="D136" s="96" t="s">
        <v>66</v>
      </c>
      <c r="E136" s="119">
        <f>'MEMÓRIA DE CÁLCULO'!E281</f>
        <v>14.97</v>
      </c>
      <c r="F136" s="93"/>
      <c r="G136" s="94">
        <f t="shared" si="16"/>
        <v>0</v>
      </c>
      <c r="H136" s="94">
        <f t="shared" si="17"/>
        <v>0</v>
      </c>
    </row>
    <row r="137" s="54" customFormat="1" ht="7" customHeight="1" spans="1:8">
      <c r="A137" s="92"/>
      <c r="B137" s="78"/>
      <c r="C137" s="95"/>
      <c r="D137" s="96"/>
      <c r="E137" s="119"/>
      <c r="F137" s="93"/>
      <c r="G137" s="94"/>
      <c r="H137" s="94"/>
    </row>
    <row r="138" s="54" customFormat="1" ht="35" customHeight="1" spans="1:8">
      <c r="A138" s="69" t="s">
        <v>38</v>
      </c>
      <c r="B138" s="70" t="s">
        <v>354</v>
      </c>
      <c r="C138" s="70"/>
      <c r="D138" s="70"/>
      <c r="E138" s="70"/>
      <c r="F138" s="70"/>
      <c r="G138" s="70"/>
      <c r="H138" s="71">
        <f>SUM(H139:H147)</f>
        <v>0</v>
      </c>
    </row>
    <row r="139" s="54" customFormat="1" ht="36" customHeight="1" spans="1:8">
      <c r="A139" s="92" t="s">
        <v>355</v>
      </c>
      <c r="B139" s="83" t="s">
        <v>107</v>
      </c>
      <c r="C139" s="95" t="str">
        <f>'MEMÓRIA DE CÁLCULO'!C284</f>
        <v>ESCAVACAO MANUAL EM TERRA ATE 1,50 M DE PROFUNDIDADE, SEM ESCORAMENTO. </v>
      </c>
      <c r="D139" s="96" t="s">
        <v>66</v>
      </c>
      <c r="E139" s="119">
        <f>'MEMÓRIA DE CÁLCULO'!E284</f>
        <v>2</v>
      </c>
      <c r="F139" s="93"/>
      <c r="G139" s="94">
        <f t="shared" ref="G139:G147" si="18">TRUNC(F139+F139*$H$7,2)</f>
        <v>0</v>
      </c>
      <c r="H139" s="94">
        <f t="shared" ref="H139:H147" si="19">TRUNC(E139*G139,2)</f>
        <v>0</v>
      </c>
    </row>
    <row r="140" s="54" customFormat="1" ht="28" customHeight="1" spans="1:8">
      <c r="A140" s="92" t="s">
        <v>356</v>
      </c>
      <c r="B140" s="83" t="s">
        <v>357</v>
      </c>
      <c r="C140" s="95" t="str">
        <f>'MEMÓRIA DE CÁLCULO'!C285</f>
        <v>DEMOLICAO DE ALVENARIA DE PEDRA REJUNTADA.</v>
      </c>
      <c r="D140" s="96" t="s">
        <v>66</v>
      </c>
      <c r="E140" s="119">
        <f>'MEMÓRIA DE CÁLCULO'!E285</f>
        <v>1.8</v>
      </c>
      <c r="F140" s="93"/>
      <c r="G140" s="94">
        <f t="shared" si="18"/>
        <v>0</v>
      </c>
      <c r="H140" s="94">
        <f t="shared" si="19"/>
        <v>0</v>
      </c>
    </row>
    <row r="141" s="54" customFormat="1" ht="31.5" spans="1:8">
      <c r="A141" s="92" t="s">
        <v>358</v>
      </c>
      <c r="B141" s="78" t="s">
        <v>145</v>
      </c>
      <c r="C141" s="95" t="str">
        <f>'MEMÓRIA DE CÁLCULO'!C286</f>
        <v>CONCRETO NAO ESTRUTURAL (1 4 8) PARA LASTROS DE PISOS E FUNDACOES, LANCADO E ADENSADO.</v>
      </c>
      <c r="D141" s="96" t="s">
        <v>66</v>
      </c>
      <c r="E141" s="119">
        <f>'MEMÓRIA DE CÁLCULO'!E286</f>
        <v>0.2</v>
      </c>
      <c r="F141" s="93"/>
      <c r="G141" s="94">
        <f t="shared" si="18"/>
        <v>0</v>
      </c>
      <c r="H141" s="94">
        <f t="shared" si="19"/>
        <v>0</v>
      </c>
    </row>
    <row r="142" s="54" customFormat="1" ht="31.5" spans="1:8">
      <c r="A142" s="92" t="s">
        <v>359</v>
      </c>
      <c r="B142" s="78" t="s">
        <v>148</v>
      </c>
      <c r="C142" s="95" t="str">
        <f>'MEMÓRIA DE CÁLCULO'!C287</f>
        <v>CONCRETO ARMADO PRONTO, FCK 30 MPA CONDICAO A (NBR 12655), LANCADO EM FUNDACOES E ADENSADO, INCLUSIVE FORMA, ESCORAMENTO E FERRAGEM.</v>
      </c>
      <c r="D142" s="96" t="s">
        <v>66</v>
      </c>
      <c r="E142" s="119">
        <f>'MEMÓRIA DE CÁLCULO'!E287</f>
        <v>0.38</v>
      </c>
      <c r="F142" s="93"/>
      <c r="G142" s="94">
        <f t="shared" si="18"/>
        <v>0</v>
      </c>
      <c r="H142" s="94">
        <f t="shared" si="19"/>
        <v>0</v>
      </c>
    </row>
    <row r="143" s="54" customFormat="1" ht="31.5" spans="1:8">
      <c r="A143" s="92" t="s">
        <v>360</v>
      </c>
      <c r="B143" s="78" t="s">
        <v>151</v>
      </c>
      <c r="C143" s="95" t="str">
        <f>'MEMÓRIA DE CÁLCULO'!C288</f>
        <v>CONCRETO ARMADO PRONTO, FCK 30 MPA,CONDICAO A (NBR 12655), LANCADO EM PILARES E ADENSADO,INCLUSIVE FORMA, ESCORAMENTO E FERRAGEM. </v>
      </c>
      <c r="D143" s="96" t="s">
        <v>66</v>
      </c>
      <c r="E143" s="119">
        <f>'MEMÓRIA DE CÁLCULO'!E288</f>
        <v>0.38</v>
      </c>
      <c r="F143" s="93"/>
      <c r="G143" s="94">
        <f t="shared" si="18"/>
        <v>0</v>
      </c>
      <c r="H143" s="94">
        <f t="shared" si="19"/>
        <v>0</v>
      </c>
    </row>
    <row r="144" s="54" customFormat="1" ht="31.5" spans="1:8">
      <c r="A144" s="92" t="s">
        <v>361</v>
      </c>
      <c r="B144" s="78" t="s">
        <v>362</v>
      </c>
      <c r="C144" s="95" t="str">
        <f>'MEMÓRIA DE CÁLCULO'!C289</f>
        <v>ALVENARIA EM PEDRA RACHAO ASSENTADA E REJUNTADA COM ARGAMASSA DE CIMENTO E AREIA NO TRACO 1:6.</v>
      </c>
      <c r="D144" s="96" t="s">
        <v>66</v>
      </c>
      <c r="E144" s="119">
        <f>'MEMÓRIA DE CÁLCULO'!E289</f>
        <v>1.8</v>
      </c>
      <c r="F144" s="93"/>
      <c r="G144" s="94">
        <f t="shared" si="18"/>
        <v>0</v>
      </c>
      <c r="H144" s="94">
        <f t="shared" si="19"/>
        <v>0</v>
      </c>
    </row>
    <row r="145" s="54" customFormat="1" ht="31.5" spans="1:8">
      <c r="A145" s="92" t="s">
        <v>363</v>
      </c>
      <c r="B145" s="78" t="s">
        <v>157</v>
      </c>
      <c r="C145" s="95" t="str">
        <f>'MEMÓRIA DE CÁLCULO'!C290</f>
        <v>CONCRETO ARMADO PRONTO, FCK 30 MPA,CONDICAO A (NBR 12656), LANCADO EM VIGAS E ADENSADO, INCLUSIVE FORMA, ESCORAMENTO E FERRAGEM. </v>
      </c>
      <c r="D145" s="96" t="s">
        <v>66</v>
      </c>
      <c r="E145" s="119">
        <f>'MEMÓRIA DE CÁLCULO'!E290</f>
        <v>0.09</v>
      </c>
      <c r="F145" s="93"/>
      <c r="G145" s="94">
        <f t="shared" si="18"/>
        <v>0</v>
      </c>
      <c r="H145" s="94">
        <f t="shared" si="19"/>
        <v>0</v>
      </c>
    </row>
    <row r="146" s="54" customFormat="1" ht="31.5" spans="1:8">
      <c r="A146" s="92" t="s">
        <v>364</v>
      </c>
      <c r="B146" s="78" t="s">
        <v>352</v>
      </c>
      <c r="C146" s="95" t="str">
        <f>'MEMÓRIA DE CÁLCULO'!C291</f>
        <v>REMOCAO DE MATERIAL DE PRIMEIRA CATEGORIA EM CAMINHAO BASCULANTE, D.M.T. 6 KM, INCLUSIVE CARGA E DESCARGA MECANICAS .</v>
      </c>
      <c r="D146" s="96" t="s">
        <v>66</v>
      </c>
      <c r="E146" s="119">
        <f>'MEMÓRIA DE CÁLCULO'!E291</f>
        <v>4.56</v>
      </c>
      <c r="F146" s="93"/>
      <c r="G146" s="94">
        <f t="shared" si="18"/>
        <v>0</v>
      </c>
      <c r="H146" s="94">
        <f t="shared" si="19"/>
        <v>0</v>
      </c>
    </row>
    <row r="147" s="54" customFormat="1" ht="31.5" spans="1:8">
      <c r="A147" s="92" t="s">
        <v>365</v>
      </c>
      <c r="B147" s="78" t="s">
        <v>140</v>
      </c>
      <c r="C147" s="95" t="str">
        <f>'MEMÓRIA DE CÁLCULO'!C292</f>
        <v>REATERRO APILOADO DE VALAS EM CAMADAS DE 20CM DE ESPESSURA, COM APROVEITAMENTO DO MATERIAL ESCAVADO. </v>
      </c>
      <c r="D147" s="96" t="s">
        <v>66</v>
      </c>
      <c r="E147" s="119">
        <f>'MEMÓRIA DE CÁLCULO'!E292</f>
        <v>1.62</v>
      </c>
      <c r="F147" s="93"/>
      <c r="G147" s="94">
        <f t="shared" si="18"/>
        <v>0</v>
      </c>
      <c r="H147" s="94">
        <f t="shared" si="19"/>
        <v>0</v>
      </c>
    </row>
    <row r="148" s="54" customFormat="1" ht="9.65" customHeight="1" spans="1:8">
      <c r="A148" s="92"/>
      <c r="B148" s="90"/>
      <c r="C148" s="104"/>
      <c r="D148" s="89"/>
      <c r="E148" s="119"/>
      <c r="F148" s="93"/>
      <c r="G148" s="94"/>
      <c r="H148" s="94"/>
    </row>
    <row r="149" s="54" customFormat="1" ht="30" customHeight="1" spans="1:8">
      <c r="A149" s="69" t="s">
        <v>40</v>
      </c>
      <c r="B149" s="70" t="s">
        <v>366</v>
      </c>
      <c r="C149" s="70"/>
      <c r="D149" s="70"/>
      <c r="E149" s="70"/>
      <c r="F149" s="70"/>
      <c r="G149" s="70"/>
      <c r="H149" s="71">
        <f>SUM(H150:H152)</f>
        <v>0</v>
      </c>
    </row>
    <row r="150" s="54" customFormat="1" ht="31.5" spans="1:8">
      <c r="A150" s="92" t="s">
        <v>367</v>
      </c>
      <c r="B150" s="78" t="s">
        <v>368</v>
      </c>
      <c r="C150" s="88" t="s">
        <v>369</v>
      </c>
      <c r="D150" s="77" t="s">
        <v>212</v>
      </c>
      <c r="E150" s="119">
        <f>'MEMÓRIA DE CÁLCULO'!E295</f>
        <v>1</v>
      </c>
      <c r="F150" s="93"/>
      <c r="G150" s="94">
        <f>TRUNC(F150+F150*$H$7,2)</f>
        <v>0</v>
      </c>
      <c r="H150" s="94">
        <f>TRUNC(E150*G150,2)</f>
        <v>0</v>
      </c>
    </row>
    <row r="151" s="54" customFormat="1" ht="34" customHeight="1" spans="1:8">
      <c r="A151" s="92" t="s">
        <v>370</v>
      </c>
      <c r="B151" s="78" t="s">
        <v>181</v>
      </c>
      <c r="C151" s="97" t="s">
        <v>182</v>
      </c>
      <c r="D151" s="77" t="s">
        <v>56</v>
      </c>
      <c r="E151" s="119">
        <f>'MEMÓRIA DE CÁLCULO'!E296</f>
        <v>21</v>
      </c>
      <c r="F151" s="93"/>
      <c r="G151" s="94">
        <f>TRUNC(F151+F151*$H$7,2)</f>
        <v>0</v>
      </c>
      <c r="H151" s="94">
        <f>TRUNC(E151*G151,2)</f>
        <v>0</v>
      </c>
    </row>
    <row r="152" s="54" customFormat="1" ht="21" customHeight="1" spans="1:8">
      <c r="A152" s="92" t="s">
        <v>371</v>
      </c>
      <c r="B152" s="83" t="s">
        <v>372</v>
      </c>
      <c r="C152" s="97" t="s">
        <v>373</v>
      </c>
      <c r="D152" s="77" t="s">
        <v>73</v>
      </c>
      <c r="E152" s="119">
        <f>'MEMÓRIA DE CÁLCULO'!E297</f>
        <v>30</v>
      </c>
      <c r="F152" s="93"/>
      <c r="G152" s="94">
        <f>TRUNC(F152+F152*$H$7,2)</f>
        <v>0</v>
      </c>
      <c r="H152" s="94">
        <f>TRUNC(E152*G152,2)</f>
        <v>0</v>
      </c>
    </row>
    <row r="153" s="54" customFormat="1" ht="8" customHeight="1" spans="1:8">
      <c r="A153" s="92"/>
      <c r="B153" s="90"/>
      <c r="C153" s="104"/>
      <c r="D153" s="89"/>
      <c r="E153" s="119"/>
      <c r="F153" s="93"/>
      <c r="G153" s="94"/>
      <c r="H153" s="94"/>
    </row>
    <row r="154" s="54" customFormat="1" ht="30" customHeight="1" spans="1:8">
      <c r="A154" s="69">
        <v>160</v>
      </c>
      <c r="B154" s="70" t="s">
        <v>374</v>
      </c>
      <c r="C154" s="70"/>
      <c r="D154" s="70"/>
      <c r="E154" s="70"/>
      <c r="F154" s="70"/>
      <c r="G154" s="70"/>
      <c r="H154" s="71">
        <f>H155</f>
        <v>0</v>
      </c>
    </row>
    <row r="155" s="54" customFormat="1" ht="27" customHeight="1" spans="1:8">
      <c r="A155" s="92" t="s">
        <v>375</v>
      </c>
      <c r="B155" s="83" t="s">
        <v>660</v>
      </c>
      <c r="C155" s="74" t="s">
        <v>377</v>
      </c>
      <c r="D155" s="77" t="s">
        <v>56</v>
      </c>
      <c r="E155" s="119">
        <f>'MEMÓRIA DE CÁLCULO'!E300</f>
        <v>750</v>
      </c>
      <c r="F155" s="93"/>
      <c r="G155" s="94">
        <f>TRUNC(F155+F155*$H$7,2)</f>
        <v>0</v>
      </c>
      <c r="H155" s="94">
        <f>TRUNC(E155*G155,2)</f>
        <v>0</v>
      </c>
    </row>
    <row r="156" s="54" customFormat="1" ht="7" customHeight="1" spans="1:8">
      <c r="A156" s="92"/>
      <c r="B156" s="107"/>
      <c r="C156" s="120"/>
      <c r="D156" s="92"/>
      <c r="E156" s="119"/>
      <c r="F156" s="93"/>
      <c r="G156" s="94"/>
      <c r="H156" s="94"/>
    </row>
    <row r="157" s="54" customFormat="1" ht="35.1" customHeight="1" spans="1:8">
      <c r="A157" s="121" t="s">
        <v>378</v>
      </c>
      <c r="B157" s="121"/>
      <c r="C157" s="121"/>
      <c r="D157" s="121"/>
      <c r="E157" s="121"/>
      <c r="F157" s="121"/>
      <c r="G157" s="121"/>
      <c r="H157" s="122">
        <f>H154+H149+H138+H124+H115+H103+H95+H77+H71+H65+H59+H54+H45+H33+H18+H10</f>
        <v>0</v>
      </c>
    </row>
    <row r="158" s="54" customFormat="1" ht="29" customHeight="1" spans="1:8">
      <c r="A158" s="123" t="s">
        <v>379</v>
      </c>
      <c r="B158" s="123"/>
      <c r="C158" s="124" t="s">
        <v>661</v>
      </c>
      <c r="D158" s="124"/>
      <c r="E158" s="124"/>
      <c r="F158" s="124"/>
      <c r="G158" s="124"/>
      <c r="H158" s="124"/>
    </row>
    <row r="159" s="54" customFormat="1" ht="25.5" customHeight="1" spans="1:8">
      <c r="A159" s="125" t="str">
        <f>'ORÇAMENTO BÁSICO'!A159</f>
        <v>CAMARAGIBE - JANEIRO de 2021.</v>
      </c>
      <c r="B159" s="125"/>
      <c r="C159" s="125"/>
      <c r="D159" s="125"/>
      <c r="E159" s="125"/>
      <c r="F159" s="125"/>
      <c r="G159" s="125"/>
      <c r="H159" s="125"/>
    </row>
    <row r="160" s="56" customFormat="1" ht="14" customHeight="1" spans="1:8">
      <c r="A160" s="61"/>
      <c r="B160" s="61"/>
      <c r="C160" s="61"/>
      <c r="D160" s="61"/>
      <c r="E160" s="61"/>
      <c r="F160" s="61"/>
      <c r="G160" s="61"/>
      <c r="H160" s="61"/>
    </row>
    <row r="161" s="56" customFormat="1" spans="1:8">
      <c r="A161" s="126"/>
      <c r="B161" s="126"/>
      <c r="C161" s="126"/>
      <c r="D161" s="126"/>
      <c r="E161" s="126"/>
      <c r="F161" s="126"/>
      <c r="G161" s="126"/>
      <c r="H161" s="126"/>
    </row>
    <row r="256" spans="2:2">
      <c r="B256" s="57" t="s">
        <v>182</v>
      </c>
    </row>
  </sheetData>
  <mergeCells count="39">
    <mergeCell ref="A1:H1"/>
    <mergeCell ref="A2:H2"/>
    <mergeCell ref="A3:H3"/>
    <mergeCell ref="A4:B4"/>
    <mergeCell ref="C4:H4"/>
    <mergeCell ref="A5:B5"/>
    <mergeCell ref="C5:H5"/>
    <mergeCell ref="A6:B6"/>
    <mergeCell ref="C6:H6"/>
    <mergeCell ref="B10:G10"/>
    <mergeCell ref="B18:G18"/>
    <mergeCell ref="B33:G33"/>
    <mergeCell ref="B45:G45"/>
    <mergeCell ref="B54:G54"/>
    <mergeCell ref="B59:G59"/>
    <mergeCell ref="B65:G65"/>
    <mergeCell ref="B71:G71"/>
    <mergeCell ref="B77:G77"/>
    <mergeCell ref="B95:G95"/>
    <mergeCell ref="B103:G103"/>
    <mergeCell ref="B115:G115"/>
    <mergeCell ref="B124:G124"/>
    <mergeCell ref="B138:G138"/>
    <mergeCell ref="B149:G149"/>
    <mergeCell ref="B154:G154"/>
    <mergeCell ref="A157:G157"/>
    <mergeCell ref="A158:B158"/>
    <mergeCell ref="C158:H158"/>
    <mergeCell ref="A159:H159"/>
    <mergeCell ref="A160:H160"/>
    <mergeCell ref="A161:H161"/>
    <mergeCell ref="A7:A9"/>
    <mergeCell ref="B7:B9"/>
    <mergeCell ref="C7:C9"/>
    <mergeCell ref="D7:D9"/>
    <mergeCell ref="E7:E9"/>
    <mergeCell ref="F7:F9"/>
    <mergeCell ref="G7:G9"/>
    <mergeCell ref="H8:H9"/>
  </mergeCells>
  <printOptions horizontalCentered="1"/>
  <pageMargins left="0.727777777777778" right="0.511805555555555" top="0.786805555555556" bottom="0.786805555555556" header="0.511805555555555" footer="0.511805555555555"/>
  <pageSetup paperSize="9" scale="41" firstPageNumber="0" orientation="portrait" useFirstPageNumber="1" horizontalDpi="300" verticalDpi="300"/>
  <headerFooter/>
  <rowBreaks count="4" manualBreakCount="4">
    <brk id="32" max="16383" man="1"/>
    <brk id="64" max="16383" man="1"/>
    <brk id="94" max="16383" man="1"/>
    <brk id="123" max="16383" man="1"/>
  </row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view="pageBreakPreview" zoomScaleNormal="100" workbookViewId="0">
      <selection activeCell="F4" sqref="F4"/>
    </sheetView>
  </sheetViews>
  <sheetFormatPr defaultColWidth="10.6444444444444" defaultRowHeight="15"/>
  <cols>
    <col min="1" max="1" width="21.6666666666667" style="1" customWidth="1"/>
    <col min="2" max="2" width="47.6555555555556" style="1" customWidth="1"/>
    <col min="3" max="3" width="14.8444444444444" style="1" customWidth="1"/>
    <col min="4" max="4" width="26.8444444444444" style="1" customWidth="1"/>
    <col min="5" max="5" width="20.1444444444444" style="1" customWidth="1"/>
    <col min="6" max="6" width="28.6555555555556" style="1" customWidth="1"/>
    <col min="7" max="1025" width="10.6555555555556" style="1"/>
  </cols>
  <sheetData>
    <row r="1" ht="84" customHeight="1" spans="1:10">
      <c r="A1" s="2" t="s">
        <v>0</v>
      </c>
      <c r="B1" s="3"/>
      <c r="C1" s="3"/>
      <c r="D1" s="4"/>
      <c r="E1" s="5"/>
      <c r="F1" s="5"/>
      <c r="G1" s="5"/>
      <c r="H1" s="5"/>
      <c r="I1" s="5"/>
      <c r="J1" s="5"/>
    </row>
    <row r="2" ht="30.75" customHeight="1" spans="1:10">
      <c r="A2" s="6" t="s">
        <v>662</v>
      </c>
      <c r="B2" s="7"/>
      <c r="C2" s="7"/>
      <c r="D2" s="8"/>
      <c r="E2" s="5"/>
      <c r="F2" s="5"/>
      <c r="G2" s="5"/>
      <c r="H2" s="5"/>
      <c r="I2" s="5"/>
      <c r="J2" s="5"/>
    </row>
    <row r="3" ht="33" customHeight="1" spans="1:10">
      <c r="A3" s="9" t="s">
        <v>663</v>
      </c>
      <c r="B3" s="10"/>
      <c r="C3" s="10"/>
      <c r="D3" s="11"/>
      <c r="E3" s="12"/>
      <c r="F3" s="12"/>
      <c r="G3" s="12"/>
      <c r="H3" s="12"/>
      <c r="I3" s="12"/>
      <c r="J3" s="12"/>
    </row>
    <row r="4" ht="58" customHeight="1" spans="1:4">
      <c r="A4" s="13" t="s">
        <v>664</v>
      </c>
      <c r="B4" s="14"/>
      <c r="C4" s="14"/>
      <c r="D4" s="15"/>
    </row>
    <row r="5" ht="24" customHeight="1" spans="1:4">
      <c r="A5" s="16" t="s">
        <v>12</v>
      </c>
      <c r="B5" s="17" t="s">
        <v>665</v>
      </c>
      <c r="C5" s="17"/>
      <c r="D5" s="18">
        <f>SUM(C6:C9)</f>
        <v>0.0671</v>
      </c>
    </row>
    <row r="6" ht="15.75" spans="1:4">
      <c r="A6" s="19" t="s">
        <v>53</v>
      </c>
      <c r="B6" s="20" t="s">
        <v>666</v>
      </c>
      <c r="C6" s="21">
        <v>0.0325</v>
      </c>
      <c r="D6" s="22"/>
    </row>
    <row r="7" ht="15.75" spans="1:4">
      <c r="A7" s="19" t="s">
        <v>57</v>
      </c>
      <c r="B7" s="20" t="s">
        <v>667</v>
      </c>
      <c r="C7" s="21">
        <v>0.008</v>
      </c>
      <c r="D7" s="22"/>
    </row>
    <row r="8" ht="15.75" spans="1:4">
      <c r="A8" s="19" t="s">
        <v>60</v>
      </c>
      <c r="B8" s="20" t="s">
        <v>668</v>
      </c>
      <c r="C8" s="21">
        <v>0.0139</v>
      </c>
      <c r="D8" s="22"/>
    </row>
    <row r="9" ht="15.75" spans="1:5">
      <c r="A9" s="19" t="s">
        <v>63</v>
      </c>
      <c r="B9" s="20" t="s">
        <v>669</v>
      </c>
      <c r="C9" s="21">
        <v>0.0127</v>
      </c>
      <c r="D9" s="22"/>
      <c r="E9" s="23"/>
    </row>
    <row r="10" ht="21" customHeight="1" spans="1:5">
      <c r="A10" s="16" t="s">
        <v>14</v>
      </c>
      <c r="B10" s="17" t="s">
        <v>670</v>
      </c>
      <c r="C10" s="17"/>
      <c r="D10" s="24">
        <f>SUM(C11:C14)</f>
        <v>0.1015</v>
      </c>
      <c r="E10" s="23"/>
    </row>
    <row r="11" ht="15.75" spans="1:5">
      <c r="A11" s="19" t="s">
        <v>75</v>
      </c>
      <c r="B11" s="20" t="s">
        <v>671</v>
      </c>
      <c r="C11" s="25">
        <v>0.0065</v>
      </c>
      <c r="D11" s="26"/>
      <c r="E11" s="23"/>
    </row>
    <row r="12" ht="15.75" spans="1:5">
      <c r="A12" s="19" t="s">
        <v>78</v>
      </c>
      <c r="B12" s="20" t="s">
        <v>672</v>
      </c>
      <c r="C12" s="25">
        <v>0.03</v>
      </c>
      <c r="D12" s="27"/>
      <c r="E12" s="23"/>
    </row>
    <row r="13" ht="15.75" spans="1:5">
      <c r="A13" s="19" t="s">
        <v>81</v>
      </c>
      <c r="B13" s="20" t="s">
        <v>673</v>
      </c>
      <c r="C13" s="25">
        <v>0.02</v>
      </c>
      <c r="D13" s="27"/>
      <c r="E13" s="23"/>
    </row>
    <row r="14" ht="15.75" spans="1:5">
      <c r="A14" s="19" t="s">
        <v>84</v>
      </c>
      <c r="B14" s="20" t="s">
        <v>674</v>
      </c>
      <c r="C14" s="25">
        <v>0.045</v>
      </c>
      <c r="D14" s="28"/>
      <c r="E14" s="23"/>
    </row>
    <row r="15" ht="21" customHeight="1" spans="1:5">
      <c r="A15" s="16" t="s">
        <v>16</v>
      </c>
      <c r="B15" s="17" t="s">
        <v>675</v>
      </c>
      <c r="C15" s="17"/>
      <c r="D15" s="29">
        <f>C16</f>
        <v>0.0839</v>
      </c>
      <c r="E15" s="23"/>
    </row>
    <row r="16" ht="15.75" spans="1:5">
      <c r="A16" s="19" t="s">
        <v>116</v>
      </c>
      <c r="B16" s="20" t="s">
        <v>676</v>
      </c>
      <c r="C16" s="21">
        <v>0.0839</v>
      </c>
      <c r="D16" s="22"/>
      <c r="E16" s="23"/>
    </row>
    <row r="17" ht="15.75" spans="1:4">
      <c r="A17" s="19"/>
      <c r="B17" s="19"/>
      <c r="C17" s="19"/>
      <c r="D17" s="30"/>
    </row>
    <row r="18" ht="19" customHeight="1" spans="1:6">
      <c r="A18" s="16" t="s">
        <v>18</v>
      </c>
      <c r="B18" s="17" t="s">
        <v>677</v>
      </c>
      <c r="C18" s="17"/>
      <c r="D18" s="31">
        <f>(((1+C6+C7+C9)*(1+C8)*(1+D15))/(1-D10))-1</f>
        <v>0.288181649829716</v>
      </c>
      <c r="E18" s="23"/>
      <c r="F18" s="23"/>
    </row>
    <row r="19" ht="15.75" spans="1:4">
      <c r="A19" s="32"/>
      <c r="B19" s="33"/>
      <c r="C19" s="33"/>
      <c r="D19" s="34"/>
    </row>
    <row r="20" ht="15.75" spans="1:4">
      <c r="A20" s="32"/>
      <c r="B20" s="33"/>
      <c r="C20" s="33"/>
      <c r="D20" s="34"/>
    </row>
    <row r="21" ht="31.5" customHeight="1" spans="1:4">
      <c r="A21" s="35" t="s">
        <v>678</v>
      </c>
      <c r="B21" s="36"/>
      <c r="C21" s="36"/>
      <c r="D21" s="37"/>
    </row>
    <row r="22" spans="1:4">
      <c r="A22" s="38"/>
      <c r="B22" s="39"/>
      <c r="C22" s="40"/>
      <c r="D22" s="41"/>
    </row>
    <row r="23" ht="14.25" spans="1:4">
      <c r="A23" s="38"/>
      <c r="B23" s="40"/>
      <c r="C23" s="40"/>
      <c r="D23" s="41"/>
    </row>
    <row r="24" spans="1:4">
      <c r="A24" s="42"/>
      <c r="B24" s="43"/>
      <c r="C24" s="44"/>
      <c r="D24" s="45"/>
    </row>
    <row r="25" spans="1:4">
      <c r="A25" s="46"/>
      <c r="B25" s="46"/>
      <c r="C25" s="47"/>
      <c r="D25" s="39"/>
    </row>
    <row r="26" ht="14.25" spans="1:3">
      <c r="A26" s="48"/>
      <c r="B26" s="49"/>
      <c r="C26" s="50"/>
    </row>
    <row r="27" ht="14.25" spans="1:3">
      <c r="A27" s="48"/>
      <c r="B27" s="49"/>
      <c r="C27" s="50"/>
    </row>
    <row r="28" ht="14.25" spans="1:3">
      <c r="A28" s="48"/>
      <c r="B28" s="49"/>
      <c r="C28" s="50"/>
    </row>
    <row r="29" spans="1:3">
      <c r="A29" s="48"/>
      <c r="B29" s="51"/>
      <c r="C29" s="52"/>
    </row>
    <row r="30" spans="1:3">
      <c r="A30" s="48"/>
      <c r="C30" s="23"/>
    </row>
    <row r="31" spans="2:3">
      <c r="B31" s="53"/>
      <c r="C31" s="23"/>
    </row>
  </sheetData>
  <mergeCells count="10">
    <mergeCell ref="A1:D1"/>
    <mergeCell ref="A2:D2"/>
    <mergeCell ref="A3:D3"/>
    <mergeCell ref="A4:D4"/>
    <mergeCell ref="B5:C5"/>
    <mergeCell ref="B10:C10"/>
    <mergeCell ref="B15:C15"/>
    <mergeCell ref="B17:C17"/>
    <mergeCell ref="B18:C18"/>
    <mergeCell ref="A21:D21"/>
  </mergeCells>
  <pageMargins left="0.75" right="0.75" top="1" bottom="1" header="0.511805555555555" footer="0.511805555555555"/>
  <pageSetup paperSize="9" scale="86" firstPageNumber="0" orientation="portrait" useFirstPageNumber="1"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LibreOffice/6.3.0.4$Windows_X86_64 LibreOffice_project/057fc023c990d676a43019934386b85b21a9ee99</Application>
  <HeadingPairs>
    <vt:vector size="2" baseType="variant">
      <vt:variant>
        <vt:lpstr>工作表</vt:lpstr>
      </vt:variant>
      <vt:variant>
        <vt:i4>9</vt:i4>
      </vt:variant>
    </vt:vector>
  </HeadingPairs>
  <TitlesOfParts>
    <vt:vector size="9" baseType="lpstr">
      <vt:lpstr>RESUMO</vt:lpstr>
      <vt:lpstr>ORÇAMENTO BÁSICO</vt:lpstr>
      <vt:lpstr>MEMÓRIA DE CÁLCULO</vt:lpstr>
      <vt:lpstr>CRONOGRAMA</vt:lpstr>
      <vt:lpstr>CURVA ABC</vt:lpstr>
      <vt:lpstr>Composições de Custo</vt:lpstr>
      <vt:lpstr>Composição Caminhão Limpa Fossa</vt:lpstr>
      <vt:lpstr>Orçamento Básico - Sem preço</vt:lpstr>
      <vt:lpstr>BDI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(OR\307AMENTO ESCOLA SAO VICENTE - SINAPI JANEIRO 2016.xlsx)</dc:title>
  <dc:creator>Claudete</dc:creator>
  <cp:lastModifiedBy>clouise</cp:lastModifiedBy>
  <cp:revision>34</cp:revision>
  <dcterms:created xsi:type="dcterms:W3CDTF">2019-11-08T12:16:00Z</dcterms:created>
  <cp:lastPrinted>2020-01-10T15:25:00Z</cp:lastPrinted>
  <dcterms:modified xsi:type="dcterms:W3CDTF">2021-02-09T19:06:00Z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1046-11.2.0.9984</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