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 tabRatio="604" firstSheet="1" activeTab="3"/>
  </bookViews>
  <sheets>
    <sheet name="RESUMO" sheetId="6" r:id="rId1"/>
    <sheet name="CRONOGRAMA" sheetId="4" r:id="rId2"/>
    <sheet name="ORÇAMENTO BÁSICO" sheetId="3" r:id="rId3"/>
    <sheet name="AMBULANCIA_TIPO B" sheetId="1" r:id="rId4"/>
    <sheet name="EQUIP_TIPO B" sheetId="11" r:id="rId5"/>
    <sheet name="AMBULANCIA_TIPO D" sheetId="12" r:id="rId6"/>
    <sheet name="EQUIP_TIPO D" sheetId="13" r:id="rId7"/>
    <sheet name="BDI" sheetId="5" r:id="rId8"/>
    <sheet name="ANEXO IV" sheetId="8" r:id="rId9"/>
  </sheets>
  <externalReferences>
    <externalReference r:id="rId10"/>
  </externalReferences>
  <definedNames>
    <definedName name="_xlnm.Print_Area" localSheetId="3">'AMBULANCIA_TIPO B'!$A$1:$D$100</definedName>
    <definedName name="_xlnm.Print_Area" localSheetId="5">'AMBULANCIA_TIPO D'!$A$1:$D$102</definedName>
    <definedName name="_xlnm.Print_Area" localSheetId="8">'ANEXO IV'!$A$1:$H$24</definedName>
    <definedName name="_xlnm.Print_Area" localSheetId="7">BDI!$A$1:$D$19</definedName>
    <definedName name="_xlnm.Print_Area" localSheetId="1">CRONOGRAMA!$A$1:$P$13</definedName>
    <definedName name="_xlnm.Print_Area" localSheetId="4">'EQUIP_TIPO B'!$A$1:$D$118</definedName>
    <definedName name="_xlnm.Print_Area" localSheetId="6">'EQUIP_TIPO D'!$A$1:$D$238</definedName>
    <definedName name="_xlnm.Print_Area" localSheetId="2">'ORÇAMENTO BÁSICO'!$B$1:$M$14</definedName>
    <definedName name="_xlnm.Print_Area" localSheetId="0">RESUMO!$A$1:$D$14</definedName>
    <definedName name="_xlnm.Print_Titles" localSheetId="3">'AMBULANCIA_TIPO B'!$1:$7</definedName>
    <definedName name="_xlnm.Print_Titles" localSheetId="5">'AMBULANCIA_TIPO D'!$1:$7</definedName>
    <definedName name="_xlnm.Print_Titles" localSheetId="4">'EQUIP_TIPO B'!$1:$6</definedName>
    <definedName name="_xlnm.Print_Titles" localSheetId="6">'EQUIP_TIPO D'!$1:$6</definedName>
  </definedNames>
  <calcPr calcId="144525"/>
</workbook>
</file>

<file path=xl/sharedStrings.xml><?xml version="1.0" encoding="utf-8"?>
<sst xmlns="http://schemas.openxmlformats.org/spreadsheetml/2006/main" count="937" uniqueCount="395">
  <si>
    <t>PREFEITURA MUNICIPAL DE CAMARAGIBE</t>
  </si>
  <si>
    <t>RESUMO  DO ORÇAMENTO BÁSICO</t>
  </si>
  <si>
    <r>
      <rPr>
        <b/>
        <sz val="12"/>
        <rFont val="Times New Roman"/>
        <charset val="134"/>
      </rPr>
      <t>OBJETO:</t>
    </r>
    <r>
      <rPr>
        <sz val="12"/>
        <rFont val="Times New Roman"/>
        <charset val="134"/>
      </rPr>
      <t xml:space="preserve"> CONTRATAÇÃO DE EMPRESA ESPECIALIZADA NA PRESTAÇÃO DE SERVIÇOS DE LOCAÇÃO DE AMBULANCIAS DO TIPO B (UNIDADE DE SUPORTE BÁSICO) E TIPO D (UNIDADE DE SUPORTE AVANÇADO), COM CONDUTOR, SEM COMBUSTÍVEL, COM EQUIPAMENTOS MÉDICOS-HOSPITALARES E COM A MANUTENÇÃO PREVENTIVA E CORRETIVA, A SUPRIR AS NECESSIDADES  DOS SERVIÇOS MUNICIPAIS DE SAÚDE, EM 02 (DOIS) LOTES, PELO PÉRIODO DE 12 (DOZE) MESES.</t>
    </r>
  </si>
  <si>
    <r>
      <rPr>
        <b/>
        <sz val="12"/>
        <rFont val="Times New Roman"/>
        <charset val="134"/>
      </rPr>
      <t xml:space="preserve">LOCAL: </t>
    </r>
    <r>
      <rPr>
        <sz val="12"/>
        <rFont val="Times New Roman"/>
        <charset val="134"/>
      </rPr>
      <t xml:space="preserve">MUNICÍPIO DE CAMARAGIBE/PE </t>
    </r>
  </si>
  <si>
    <r>
      <rPr>
        <b/>
        <sz val="12"/>
        <rFont val="Times New Roman"/>
        <charset val="134"/>
      </rPr>
      <t xml:space="preserve">FONTE DE PREÇO: </t>
    </r>
    <r>
      <rPr>
        <sz val="12"/>
        <rFont val="Times New Roman"/>
        <charset val="134"/>
      </rPr>
      <t>COMPOSIÇÕES DE CUSTO DE MERCADO, TABELA FIPE + (BDI 23,02%).</t>
    </r>
  </si>
  <si>
    <t>ITEM</t>
  </si>
  <si>
    <t>DESCRIÇÃO</t>
  </si>
  <si>
    <t>TOTAL</t>
  </si>
  <si>
    <t>1.0</t>
  </si>
  <si>
    <t>1.1</t>
  </si>
  <si>
    <t>1.2</t>
  </si>
  <si>
    <t>TOTAL GERAL</t>
  </si>
  <si>
    <t>(NOVECENTOS E VINTE E CINCO MIL, DUZENTOS E TRINTA E TRÊS REAIS, E QUARENTA E OITO CENTAVOS)</t>
  </si>
  <si>
    <t xml:space="preserve">             </t>
  </si>
  <si>
    <t>PREFEITURA MUNICIPAIL DE CAMARAGIBE</t>
  </si>
  <si>
    <r>
      <rPr>
        <b/>
        <sz val="14"/>
        <rFont val="Times New Roman"/>
        <charset val="134"/>
      </rPr>
      <t>OBJETO:</t>
    </r>
    <r>
      <rPr>
        <sz val="14"/>
        <rFont val="Times New Roman"/>
        <charset val="134"/>
      </rPr>
      <t xml:space="preserve"> CONTRATAÇÃO DE SERVIÇOS DE LOCAÇÃO DE VEÍCULOS, INCLUINDO MOTORISTAS, DEVIDAMENTE HABILITADOS, SEM COMBUSTÍVEL, PARA ATENDER ÀS NECESSIDADES DAS SECRETARIAS DE INFRAESTRUTURA E SERVIÇOS PÚBLICOS, DE ADMINISTRAÇÃO E DE PLANEJAMENTO E MEIO AMBIENTE NA REALIZAÇÃO DE SUAS ATIVIDADES PRECÍPUAS.</t>
    </r>
  </si>
  <si>
    <t>LOCAL</t>
  </si>
  <si>
    <t>TODO MUNICÍPIO DE CAMARAGIBE/PE.</t>
  </si>
  <si>
    <t>CRONOGRAMA FÍSICO FINANCEIRO DE DESEMBOLSO MÁXIMO  (MENSAL)</t>
  </si>
  <si>
    <t>DISCRIMINAÇÃO</t>
  </si>
  <si>
    <t>QUANT</t>
  </si>
  <si>
    <t>TOTAL (R$)</t>
  </si>
  <si>
    <t>MESES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</si>
  <si>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</si>
  <si>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</si>
  <si>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</si>
  <si>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</si>
  <si>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</si>
  <si>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</si>
  <si>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</si>
  <si>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</si>
  <si>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</si>
  <si>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</si>
  <si>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</si>
  <si>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</si>
  <si>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01 AMBULANCIAS MÊS</t>
  </si>
  <si>
    <t>02  AMBULANCIAS MÊS</t>
  </si>
  <si>
    <t>PERCENTUAL MÁXIMO MENSAL</t>
  </si>
  <si>
    <t>VALOR MÁXIMO MENSAL</t>
  </si>
  <si>
    <t>TOTAL GERAL ACUMULADO</t>
  </si>
  <si>
    <t>Importa o presente orçamento em:</t>
  </si>
  <si>
    <r>
      <rPr>
        <b/>
        <sz val="14"/>
        <rFont val="Times New Roman"/>
        <charset val="134"/>
      </rPr>
      <t xml:space="preserve">OBJETO: </t>
    </r>
    <r>
      <rPr>
        <sz val="14"/>
        <rFont val="Times New Roman"/>
        <charset val="134"/>
      </rPr>
      <t>CONTRATAÇÃO DE EMPRESA ESPECIALIZADA NA PRESTAÇÃO DE SERVIÇOS DE LOCAÇÃO DE AMBULANCIAS DO TIPO B (UNIDADE DE SUPORTE BÁSICO) E TIPO D (UNIDADE DE SUPORTE AVANÇADO), COM CONDUTOR, SEM COMBUSTÍVEL, COM EQUIPAMENTOS MÉDICOS-HOSPITALARES E COM A MANUTENÇÃO PREVENTIVA E CORRETIVA, A SUPRIR AS NECESSIDADES  DOS SERVIÇOS MUNICIPAIS DE SAÚDE, EM 02 (DOIS) LOTES, PELO PÉRIODO DE 12 (DOZE) MESES.</t>
    </r>
  </si>
  <si>
    <t>LOCAL:</t>
  </si>
  <si>
    <t>REFERÊNCIA:</t>
  </si>
  <si>
    <t xml:space="preserve"> ORÇAMENTO BÁSICO</t>
  </si>
  <si>
    <t>REFERÊNCIA FEVEREIRO DE 2023</t>
  </si>
  <si>
    <t>BDI</t>
  </si>
  <si>
    <t>CODIGO</t>
  </si>
  <si>
    <t>UN</t>
  </si>
  <si>
    <t>QUANT VEICULOS</t>
  </si>
  <si>
    <t>PREÇOS</t>
  </si>
  <si>
    <t>QUANTIDADE</t>
  </si>
  <si>
    <t>PREÇO TOTAL (R$)</t>
  </si>
  <si>
    <t>UNITÁRIO 
(SEM BDI ) MÊS</t>
  </si>
  <si>
    <t>BDI (%)</t>
  </si>
  <si>
    <t>UNITÁRIO 
(COM BDI) MÊS</t>
  </si>
  <si>
    <t>(VEICULOS X MÊS)</t>
  </si>
  <si>
    <t>S/BDI</t>
  </si>
  <si>
    <t>C/BDI</t>
  </si>
  <si>
    <t>COMP</t>
  </si>
  <si>
    <t>LOCAÇÃO DE AMBULANCIA COM CONDUTOR (12 X 36 H. DIURNO/NOTURNO)</t>
  </si>
  <si>
    <t>COMP_01</t>
  </si>
  <si>
    <t>MÊS</t>
  </si>
  <si>
    <t>COMP_02</t>
  </si>
  <si>
    <r>
      <rPr>
        <b/>
        <sz val="12"/>
        <rFont val="Times New Roman"/>
        <charset val="134"/>
      </rPr>
      <t xml:space="preserve">LOCAL: </t>
    </r>
    <r>
      <rPr>
        <sz val="12"/>
        <rFont val="Times New Roman"/>
        <charset val="134"/>
      </rPr>
      <t>TODO MUNICÍPIO DE CAMARAGIBE/PE.</t>
    </r>
  </si>
  <si>
    <r>
      <rPr>
        <b/>
        <sz val="12"/>
        <rFont val="Times New Roman"/>
        <charset val="134"/>
      </rPr>
      <t xml:space="preserve">FONTE: </t>
    </r>
    <r>
      <rPr>
        <sz val="12"/>
        <rFont val="Times New Roman"/>
        <charset val="134"/>
      </rPr>
      <t>PREÇO MÉDIO DE VEÍCULOS - CONSULTA DE CARROS E UTILITÁRIOS PEQUENOS - PESQUISA COMUM - FIPE</t>
    </r>
  </si>
  <si>
    <r>
      <rPr>
        <b/>
        <sz val="12"/>
        <rFont val="Times New Roman"/>
        <charset val="134"/>
      </rPr>
      <t xml:space="preserve">MÊS DE REFERÊNCIA: </t>
    </r>
    <r>
      <rPr>
        <sz val="12"/>
        <rFont val="Times New Roman"/>
        <charset val="134"/>
      </rPr>
      <t>FEVEREIRO DE 2023 - CÓDIGO FIPE: 001497-4 - MARCA: FIAT</t>
    </r>
  </si>
  <si>
    <t>COMPOSIÇÃO DE CUSTO UNITÁRIO PARA LOCAÇÃO  - COMPOSIÇÃO 01 - TIPO B</t>
  </si>
  <si>
    <t>MODELO: DUCATO CARGO CURTO 2.3 16V DIESEL
ANO MODELO: 2021 DIESEL
PREÇO MÉDIO: R$ 183.523,00</t>
  </si>
  <si>
    <t>1. AMBULANCIAS DO TIPO B (UNIDADE DE SUPORTE BÁSICO), COM CONDUTOR, SEM COMBUSTÍVEL, COM EQUIPAMENTOS MÉDICOS-HOSPITALARES</t>
  </si>
  <si>
    <t>A -</t>
  </si>
  <si>
    <t>DEPRECIAÇÃO MENSAL DO VEÍCULO.</t>
  </si>
  <si>
    <t>A1-</t>
  </si>
  <si>
    <t>Preço de Aquisição (R$)</t>
  </si>
  <si>
    <t>A1=</t>
  </si>
  <si>
    <t>A2-</t>
  </si>
  <si>
    <t>Tempo de vida útil (meses)</t>
  </si>
  <si>
    <t>A2=</t>
  </si>
  <si>
    <t>A3-</t>
  </si>
  <si>
    <t>Previsão de recuperação na venda do bem  usado (%)</t>
  </si>
  <si>
    <t>A3=</t>
  </si>
  <si>
    <t>INCIDÊNCIA MENSAL</t>
  </si>
  <si>
    <t>A=</t>
  </si>
  <si>
    <t>B -</t>
  </si>
  <si>
    <t>JUROS PELO CAPITAL EMPREGADO - Retorno do investimento</t>
  </si>
  <si>
    <t>B1-</t>
  </si>
  <si>
    <t>Taxa mensal de juros (%)</t>
  </si>
  <si>
    <t>B1=</t>
  </si>
  <si>
    <t>B=</t>
  </si>
  <si>
    <t>C -</t>
  </si>
  <si>
    <t>CONSERVAÇÃO E MANUTENÇÃO / SEGUROS</t>
  </si>
  <si>
    <t>C1-</t>
  </si>
  <si>
    <t>aplicação para ajuste do equipamento (%) -Parcela da Depreciação 20%</t>
  </si>
  <si>
    <t>C1=</t>
  </si>
  <si>
    <t>aplicação para Seguro do equipamento (3,0 %) -</t>
  </si>
  <si>
    <t>Lavagem (1/semana) R$ 39,00</t>
  </si>
  <si>
    <t>C2=</t>
  </si>
  <si>
    <t>C2-</t>
  </si>
  <si>
    <t>Peças acessórios e materiais de manutenção 1% a.m</t>
  </si>
  <si>
    <t>C3=</t>
  </si>
  <si>
    <t>C=</t>
  </si>
  <si>
    <t>GASTOS MENSAIS E OPERAÇÃO DO VEÍCULO</t>
  </si>
  <si>
    <t>D -</t>
  </si>
  <si>
    <t>SEM  COMBUSTÍVEL</t>
  </si>
  <si>
    <t>D1-</t>
  </si>
  <si>
    <t>Preço litro de combustível (DIESEL)</t>
  </si>
  <si>
    <t>D1=</t>
  </si>
  <si>
    <t>D2-</t>
  </si>
  <si>
    <t>Prazo para Contrato (meses)</t>
  </si>
  <si>
    <t>D2=</t>
  </si>
  <si>
    <t>D3-</t>
  </si>
  <si>
    <t>Km/l</t>
  </si>
  <si>
    <t>D3=</t>
  </si>
  <si>
    <t>D4-</t>
  </si>
  <si>
    <t>km contrato (média de consumo mês)</t>
  </si>
  <si>
    <t>D4=</t>
  </si>
  <si>
    <t>D=</t>
  </si>
  <si>
    <t>E-</t>
  </si>
  <si>
    <t>LUBRIFICANTES</t>
  </si>
  <si>
    <t>E1-</t>
  </si>
  <si>
    <t>Franquia da troca de óleo/filtros</t>
  </si>
  <si>
    <t>E1=</t>
  </si>
  <si>
    <t>E2-</t>
  </si>
  <si>
    <t>Preço dos filtros (R$)</t>
  </si>
  <si>
    <t>E2=</t>
  </si>
  <si>
    <t>Preço do litro de óleo (R$)</t>
  </si>
  <si>
    <t>E3-</t>
  </si>
  <si>
    <t>Quantidade de litros de óleo</t>
  </si>
  <si>
    <t>E3=</t>
  </si>
  <si>
    <t>E4-</t>
  </si>
  <si>
    <t>Quantidades  de filtro óleo por troca.</t>
  </si>
  <si>
    <t>E4=</t>
  </si>
  <si>
    <t>Quantidades de troca</t>
  </si>
  <si>
    <t>E=</t>
  </si>
  <si>
    <t>F -</t>
  </si>
  <si>
    <t>PNEUS/CÂMARAS</t>
  </si>
  <si>
    <t>F1-</t>
  </si>
  <si>
    <t>Quantidade de pneus</t>
  </si>
  <si>
    <t>F1=</t>
  </si>
  <si>
    <t>F2-</t>
  </si>
  <si>
    <t>Vida útil do pneu em km</t>
  </si>
  <si>
    <t>F2=</t>
  </si>
  <si>
    <t>F3-</t>
  </si>
  <si>
    <t>Quilometragem do contrato</t>
  </si>
  <si>
    <t>F3=</t>
  </si>
  <si>
    <t>F4-</t>
  </si>
  <si>
    <t>Preço do pneu</t>
  </si>
  <si>
    <t>F4=</t>
  </si>
  <si>
    <t>F=</t>
  </si>
  <si>
    <t xml:space="preserve">    G- </t>
  </si>
  <si>
    <t>MÃO DE OBRA</t>
  </si>
  <si>
    <t>G1-</t>
  </si>
  <si>
    <t>CONDUTOR PARA AMBULANCIA TIPO B COM JORNADA DE TRABALHO DE 12X36 HORAS DIURNO COM INSALUBRIDADE</t>
  </si>
  <si>
    <t>G1=</t>
  </si>
  <si>
    <t>ADICIONAL DE INSALUBRIDADE 20% (DIURNO)</t>
  </si>
  <si>
    <t>02 MOTORISTAS DIURNO</t>
  </si>
  <si>
    <t>G2-</t>
  </si>
  <si>
    <t>CONDUTOR PARA AMBULANCIA TIPO B COM JORNADA DE TRABALHO DE 12X36 HORAS NOTURNO COM INSALUBRIDADE</t>
  </si>
  <si>
    <t>G2=</t>
  </si>
  <si>
    <t>ADICIONAL DE INSALUBRIDADE 20%</t>
  </si>
  <si>
    <t>ADICIONAL DE NOTURNO 25%</t>
  </si>
  <si>
    <t>02 MOTORISTAS NOTURNO</t>
  </si>
  <si>
    <t>G=</t>
  </si>
  <si>
    <t>H-</t>
  </si>
  <si>
    <t>EQUIPAMENTOS</t>
  </si>
  <si>
    <t>H1-</t>
  </si>
  <si>
    <t>EQUIPAMENTOS MÉDICOS-HOSPITALARES PARA AMBULANCIA TIPO B</t>
  </si>
  <si>
    <t>I-</t>
  </si>
  <si>
    <t>TOTAL SEM B.D.I</t>
  </si>
  <si>
    <t>J-</t>
  </si>
  <si>
    <t>TOTAL C/ BDI 23,02%</t>
  </si>
  <si>
    <t>INSTRUÇÃO NORMATIVA RFB Nº 1700, DE 14 DE MARÇO DE 2017</t>
  </si>
  <si>
    <r>
      <rPr>
        <b/>
        <sz val="10"/>
        <color rgb="FF000000"/>
        <rFont val="Times New Roman"/>
        <charset val="134"/>
      </rPr>
      <t>REFERENCIA NCM:8705:</t>
    </r>
    <r>
      <rPr>
        <sz val="10"/>
        <color rgb="FF000000"/>
        <rFont val="Times New Roman"/>
        <charset val="134"/>
      </rPr>
      <t xml:space="preserve"> VEÍCULOS AUTOMÓVEIS PARA USOS ESPECIAIS (POR EXEMPLO: AUTO-SOCORROS, CAMINHÕES-GUINDASTES, VEÍCULOS DE COMBATE A INCÊNDIOS, CAMINHÕESBETONEIRAS, VEÍCULOS PARA VARRER, VEÍCULOS PARA ESPALHAR, VEÍCULOS-OFICINAS, VEÍCULOS RADIOLÓGICOS), EXCETO OS CONCEBIDOS PRINCIPALMENTE PARA TRANSPORTE DE PESSOAS OU DE MERCADORIAS</t>
    </r>
  </si>
  <si>
    <t>PRAZO DE VIDA UTIL: 4 ANOS</t>
  </si>
  <si>
    <r>
      <rPr>
        <b/>
        <sz val="10"/>
        <color rgb="FF000000"/>
        <rFont val="Times New Roman"/>
        <charset val="134"/>
      </rPr>
      <t>TAXA ANUAL DE DEPRECIAÇÃO:</t>
    </r>
    <r>
      <rPr>
        <sz val="10"/>
        <color rgb="FF000000"/>
        <rFont val="Times New Roman"/>
        <charset val="134"/>
      </rPr>
      <t xml:space="preserve"> 25%</t>
    </r>
  </si>
  <si>
    <r>
      <rPr>
        <b/>
        <sz val="10"/>
        <color rgb="FF000000"/>
        <rFont val="Times New Roman"/>
        <charset val="134"/>
      </rPr>
      <t xml:space="preserve">REFERENCIA NCM: 9402: </t>
    </r>
    <r>
      <rPr>
        <sz val="10"/>
        <color rgb="FF000000"/>
        <rFont val="Times New Roman"/>
        <charset val="134"/>
      </rPr>
      <t>MOBILIÁRIO PARA MEDICINA, CIRURGIA, ODONTOLOGIA OU VETERINÁRIA</t>
    </r>
  </si>
  <si>
    <r>
      <rPr>
        <b/>
        <sz val="10"/>
        <color rgb="FF000000"/>
        <rFont val="Times New Roman"/>
        <charset val="134"/>
      </rPr>
      <t>TAXA ANUAL DE DEPRECIAÇÃO:</t>
    </r>
    <r>
      <rPr>
        <sz val="10"/>
        <color rgb="FF000000"/>
        <rFont val="Times New Roman"/>
        <charset val="134"/>
      </rPr>
      <t xml:space="preserve"> 10%</t>
    </r>
  </si>
  <si>
    <r>
      <rPr>
        <b/>
        <sz val="10"/>
        <color rgb="FF000000"/>
        <rFont val="Times New Roman"/>
        <charset val="134"/>
      </rPr>
      <t xml:space="preserve">REFERENCIA NCM: 9019: </t>
    </r>
    <r>
      <rPr>
        <sz val="10"/>
        <color rgb="FF000000"/>
        <rFont val="Times New Roman"/>
        <charset val="134"/>
      </rPr>
      <t>APARELHOS DE MECANOTERAPIA; APARELHOS DE MASSAGEM; APARELHOS DE PSICOTÉCNICA; APARELHOS DE OZONOTERAPIA, DE OXIGENOTERAPIA, DE AEROSSOLTERAPIA, APARELHOS RESPIRATÓRIOS DE REANIMAÇÃO E OUTROS APARELHOS DE TERAPIA RESPIRATÓRIA</t>
    </r>
  </si>
  <si>
    <r>
      <rPr>
        <b/>
        <sz val="10"/>
        <color rgb="FF000000"/>
        <rFont val="Times New Roman"/>
        <charset val="134"/>
      </rPr>
      <t xml:space="preserve">CONVENÇÃO COLETIVA DE TRABALHO 2022/2022: </t>
    </r>
    <r>
      <rPr>
        <sz val="10"/>
        <color rgb="FF000000"/>
        <rFont val="Times New Roman"/>
        <charset val="134"/>
      </rPr>
      <t>SIND. DOS TRAB.TRANSP. COLE INTERM INTER ROD TUR,FRET,ESC,ALTERN E SIM NO RECI METRO E REG M SUL E NORTE DE PE, CNPJ n. 03.008.031/0001-87</t>
    </r>
  </si>
  <si>
    <r>
      <rPr>
        <b/>
        <sz val="12"/>
        <rFont val="Times New Roman"/>
        <charset val="134"/>
      </rPr>
      <t xml:space="preserve">FONTE: </t>
    </r>
    <r>
      <rPr>
        <sz val="12"/>
        <rFont val="Times New Roman"/>
        <charset val="134"/>
      </rPr>
      <t>COTAÇÃO DE PREÇO</t>
    </r>
  </si>
  <si>
    <t>COMPOSIÇÃO DE CUSTO UNITÁRIO PARA LOCAÇÃO - COMPOSIÇÃO 01A- TIPO B</t>
  </si>
  <si>
    <t>2. EQUIPAMENTOS MÉDICOS-HOSPITALARES</t>
  </si>
  <si>
    <t>A. MACA BIARTICULADA COM RODAS</t>
  </si>
  <si>
    <t>DEPRECIAÇÃO MENSAL DOS EQUIPAMENTOS</t>
  </si>
  <si>
    <t>Previsão de recuperação na venda do bem usado (%)</t>
  </si>
  <si>
    <t>A4-</t>
  </si>
  <si>
    <t>Tempo do Contrato (Meses)</t>
  </si>
  <si>
    <t>A4=</t>
  </si>
  <si>
    <t>CUSTO MENSAL</t>
  </si>
  <si>
    <t>A5-</t>
  </si>
  <si>
    <t>A5=</t>
  </si>
  <si>
    <t>A6-</t>
  </si>
  <si>
    <t>Juros sobre a depreciação / aluguel</t>
  </si>
  <si>
    <t>A6=</t>
  </si>
  <si>
    <t>B. VÁLVULA REGULADORA PARA OXIGÊNIO</t>
  </si>
  <si>
    <t>B2-</t>
  </si>
  <si>
    <t>B2=</t>
  </si>
  <si>
    <t>B3-</t>
  </si>
  <si>
    <t>B3=</t>
  </si>
  <si>
    <t>B4-</t>
  </si>
  <si>
    <t>B4=</t>
  </si>
  <si>
    <t>B5-</t>
  </si>
  <si>
    <t>B5=</t>
  </si>
  <si>
    <t>B6-</t>
  </si>
  <si>
    <t>B6=</t>
  </si>
  <si>
    <t>C. FLUXÔMETRO PARA OXIGÊNIO</t>
  </si>
  <si>
    <t>C3-</t>
  </si>
  <si>
    <t>C4-</t>
  </si>
  <si>
    <t>C4=</t>
  </si>
  <si>
    <t>C5-</t>
  </si>
  <si>
    <t>C5=</t>
  </si>
  <si>
    <t>C6-</t>
  </si>
  <si>
    <t>C6=</t>
  </si>
  <si>
    <t>D. ESTETOSCÓPIO ADULTO E INFANTIL</t>
  </si>
  <si>
    <t>D5-</t>
  </si>
  <si>
    <t>D5=</t>
  </si>
  <si>
    <t>D6-</t>
  </si>
  <si>
    <t>D6=</t>
  </si>
  <si>
    <t>E. REANIMADOR MANUAL ADULTO</t>
  </si>
  <si>
    <t>E5-</t>
  </si>
  <si>
    <t>E5=</t>
  </si>
  <si>
    <t>E6-</t>
  </si>
  <si>
    <t>E6=</t>
  </si>
  <si>
    <t>F. REANIMADOR MANUAL INFANTIL</t>
  </si>
  <si>
    <t>F5-</t>
  </si>
  <si>
    <t>F5=</t>
  </si>
  <si>
    <t>F6-</t>
  </si>
  <si>
    <t>F6=</t>
  </si>
  <si>
    <t>G. MÁSCARA PARA REANIMADOR TAMANHO PRÉ-TERMO</t>
  </si>
  <si>
    <t>G3-</t>
  </si>
  <si>
    <t>G3=</t>
  </si>
  <si>
    <t>G4-</t>
  </si>
  <si>
    <t>G4=</t>
  </si>
  <si>
    <t>G5-</t>
  </si>
  <si>
    <t>G5=</t>
  </si>
  <si>
    <t>G6-</t>
  </si>
  <si>
    <t>G6=</t>
  </si>
  <si>
    <t>I -</t>
  </si>
  <si>
    <t>COMPOSIÇÃO DE CUSTO UNITÁRIO PARA LOCAÇÃO  - COMPOSIÇÃO 02 - TIPO D</t>
  </si>
  <si>
    <t>1. AMBULANCIAS DO TIPO D (UNIDADE DE SUPORTE AVANÇADO), COM CONDUTOR, SEM COMBUSTÍVEL, COM EQUIPAMENTOS MÉDICOS-HOSPITALARES</t>
  </si>
  <si>
    <t>COMPOSIÇÃO DE CUSTO UNITÁRIO PARA LOCAÇÃO - COMPOSIÇÃO 02A- TIPO D</t>
  </si>
  <si>
    <t>B. CADEIRA DE RODAS ADULTO</t>
  </si>
  <si>
    <t>C. VENTILADOR PULMONAR ADULTO, PEDIATRICO E NEONATAL</t>
  </si>
  <si>
    <t>D. OXIMÉTRO DE PULSO ADULTO, PEDIATRICO E NEONATAL</t>
  </si>
  <si>
    <t>E. CARDIOVERSOR BIFÁSICO</t>
  </si>
  <si>
    <t>F. BOMBA DE INFUSÃO</t>
  </si>
  <si>
    <t>G. LARINGOSCÓPIO ADULTO</t>
  </si>
  <si>
    <t>H. LARINGOSCÓPIO INFANTIL</t>
  </si>
  <si>
    <t>H1=</t>
  </si>
  <si>
    <t>H2-</t>
  </si>
  <si>
    <t>H2=</t>
  </si>
  <si>
    <t>H3-</t>
  </si>
  <si>
    <t>H3=</t>
  </si>
  <si>
    <t>H4-</t>
  </si>
  <si>
    <t>H4=</t>
  </si>
  <si>
    <t>H5-</t>
  </si>
  <si>
    <t>H5=</t>
  </si>
  <si>
    <t>H6-</t>
  </si>
  <si>
    <t>H6=</t>
  </si>
  <si>
    <t>I. LARINGOSCÓPIO NEONATAL</t>
  </si>
  <si>
    <t>I1-</t>
  </si>
  <si>
    <t>I1=</t>
  </si>
  <si>
    <t>I2-</t>
  </si>
  <si>
    <t>I2=</t>
  </si>
  <si>
    <t>I3-</t>
  </si>
  <si>
    <t>I3=</t>
  </si>
  <si>
    <t>I4-</t>
  </si>
  <si>
    <t>I4=</t>
  </si>
  <si>
    <t>I5-</t>
  </si>
  <si>
    <t>I5=</t>
  </si>
  <si>
    <t>I6-</t>
  </si>
  <si>
    <t>I6=</t>
  </si>
  <si>
    <t>J. REANIMADOR MANUAL ADULTO</t>
  </si>
  <si>
    <t>J1-</t>
  </si>
  <si>
    <t>J1=</t>
  </si>
  <si>
    <t>J2-</t>
  </si>
  <si>
    <t>J2=</t>
  </si>
  <si>
    <t>J3-</t>
  </si>
  <si>
    <t>J3=</t>
  </si>
  <si>
    <t>J4-</t>
  </si>
  <si>
    <t>J4=</t>
  </si>
  <si>
    <t>J5-</t>
  </si>
  <si>
    <t>J5=</t>
  </si>
  <si>
    <t>J6-</t>
  </si>
  <si>
    <t>J6=</t>
  </si>
  <si>
    <t>L. REANIMADOR MANUAL PEDIÁTRICO</t>
  </si>
  <si>
    <t>L1-</t>
  </si>
  <si>
    <t>L1=</t>
  </si>
  <si>
    <t>L2-</t>
  </si>
  <si>
    <t>L2=</t>
  </si>
  <si>
    <t>L3-</t>
  </si>
  <si>
    <t>L3=</t>
  </si>
  <si>
    <t>L4-</t>
  </si>
  <si>
    <t>L4=</t>
  </si>
  <si>
    <t>L5-</t>
  </si>
  <si>
    <t>L5=</t>
  </si>
  <si>
    <t>L6-</t>
  </si>
  <si>
    <t>L6=</t>
  </si>
  <si>
    <t>M. MASCARA PARA REANIMADOR TAMANHO PRÉ-TERMO</t>
  </si>
  <si>
    <t>M1-</t>
  </si>
  <si>
    <t>M1=</t>
  </si>
  <si>
    <t>M2-</t>
  </si>
  <si>
    <t>M2=</t>
  </si>
  <si>
    <t>M3-</t>
  </si>
  <si>
    <t>M3=</t>
  </si>
  <si>
    <t>M4-</t>
  </si>
  <si>
    <t>M4=</t>
  </si>
  <si>
    <t>M5-</t>
  </si>
  <si>
    <t>M5=</t>
  </si>
  <si>
    <t>M6-</t>
  </si>
  <si>
    <t>M6=</t>
  </si>
  <si>
    <t>N. ESTETOSCÓPIO ADULTO E INFANTIL</t>
  </si>
  <si>
    <t>N1-</t>
  </si>
  <si>
    <t>N1=</t>
  </si>
  <si>
    <t>N2-</t>
  </si>
  <si>
    <t>N2=</t>
  </si>
  <si>
    <t>N3-</t>
  </si>
  <si>
    <t>N3=</t>
  </si>
  <si>
    <t>N4-</t>
  </si>
  <si>
    <t>N4=</t>
  </si>
  <si>
    <t>N5-</t>
  </si>
  <si>
    <t>N5=</t>
  </si>
  <si>
    <t>N6-</t>
  </si>
  <si>
    <t>N6=</t>
  </si>
  <si>
    <t>O. INCUBADORA DE TRANSPORTE</t>
  </si>
  <si>
    <t>O1-</t>
  </si>
  <si>
    <t>O1=</t>
  </si>
  <si>
    <t>O2-</t>
  </si>
  <si>
    <t>O2=</t>
  </si>
  <si>
    <t>O3-</t>
  </si>
  <si>
    <t>O3=</t>
  </si>
  <si>
    <t>O4-</t>
  </si>
  <si>
    <t>O4=</t>
  </si>
  <si>
    <t>O5-</t>
  </si>
  <si>
    <t>O5=</t>
  </si>
  <si>
    <t>O6-</t>
  </si>
  <si>
    <t>O6=</t>
  </si>
  <si>
    <t>P. ESFIGMOMANÔMETRO TODOS OS TAMANHOS</t>
  </si>
  <si>
    <t>P1-</t>
  </si>
  <si>
    <t>P1=</t>
  </si>
  <si>
    <t>P2-</t>
  </si>
  <si>
    <t>P2=</t>
  </si>
  <si>
    <t>P3-</t>
  </si>
  <si>
    <t>P3=</t>
  </si>
  <si>
    <t>P4-</t>
  </si>
  <si>
    <t>P4=</t>
  </si>
  <si>
    <t>P5-</t>
  </si>
  <si>
    <t>P5=</t>
  </si>
  <si>
    <t>P6-</t>
  </si>
  <si>
    <t>P6=</t>
  </si>
  <si>
    <t>COMPOSIÇÃO DO BDI (Bonificações e Despesas Indiretas)</t>
  </si>
  <si>
    <t>OBJETO:</t>
  </si>
  <si>
    <t>CONTRATAÇÃO DE SERVIÇOS DE LOCAÇÃO DE VEÍCULOS, INCLUINDO MOTORISTAS, DEVIDAMENTE HABILITADOS, SEM COMBUSTÍVEL, PARA ATENDER ÀS NECESSIDADES DAS SECRETARIAS DE INFRAESTRUTURA E SERVIÇOS PÚBLICOS, DE ADMINISTRAÇÃO E DE PLANEJAMENTO E MEIO AMBIENTE NA REALIZAÇÃO DE SUAS ATIVIDADES PRECÍPUAS.</t>
  </si>
  <si>
    <t>BDI  DE LOCAÇÃO E/OU FORNECIMENTO</t>
  </si>
  <si>
    <t>ITEM COMPONENTE DO BDI</t>
  </si>
  <si>
    <t>TAXA</t>
  </si>
  <si>
    <t>ADMINISRAÇÃO CENTRAL</t>
  </si>
  <si>
    <t>AC</t>
  </si>
  <si>
    <t>RISCOS</t>
  </si>
  <si>
    <t>R</t>
  </si>
  <si>
    <t>SEGURO GARANTIA</t>
  </si>
  <si>
    <t>S+G</t>
  </si>
  <si>
    <t>DESPESAS FINACEIRAS</t>
  </si>
  <si>
    <t>DF</t>
  </si>
  <si>
    <t>LUCRO</t>
  </si>
  <si>
    <t>L</t>
  </si>
  <si>
    <t>TRIBUTOS (PIS+COFINS+ISS)</t>
  </si>
  <si>
    <t>I</t>
  </si>
  <si>
    <t>CONTRIBUIÇÃO PREVIDENCIÁRIA SOBRE RECEITA BRUTA (CPRB)</t>
  </si>
  <si>
    <t>Esta planilha foi elaborada conforme equação para cálculo do percentual do BDI recomendada pelo relatório do acórdão TCU – 2369/2011 e TCU – 2622/2013, conforme abaixo ilustrado.</t>
  </si>
  <si>
    <t>OBJETO: CONTRATAÇÃO DE EMPRESA ESPECIALIZADA NA PRESTAÇÃO DE SERVIÇOS DE LOCAÇÃO DE AMBULANCIAS DO TIPO B (UNIDADE DE SUPORTE BÁSICO) E TIPO D (UNIDADE DE SUPORTE AVANÇADO), COM CONDUTOR, SEM COMBUSTÍVEL, COM EQUIPAMENTOS MÉDICOS-HOSPITALARES E COM A MANUTENÇÃO PREVENTIVA E CORRETIVA, A SUPRIR AS NECESSIDADES  DOS SERVIÇOS MUNICIPAIS DE SAÚDE, EM 02 (DOIS) LOTES, PELO PÉRIODO DE 12 (DOZE) MESES.</t>
  </si>
  <si>
    <t>ANEXO IV</t>
  </si>
  <si>
    <t>LAUDO DE INSPEÇÃO DE APRESENTAÇÃO  PARA RECEBIMENTO DO VEÍCULO</t>
  </si>
  <si>
    <t>Data:</t>
  </si>
  <si>
    <t>Hora:</t>
  </si>
  <si>
    <t>Modelo:</t>
  </si>
  <si>
    <t>Placa:</t>
  </si>
  <si>
    <t>km:</t>
  </si>
  <si>
    <t>Documentação:</t>
  </si>
  <si>
    <t>Ar condicionado:</t>
  </si>
  <si>
    <t>Direção Hidráulica:</t>
  </si>
  <si>
    <t>Roda / Aro:</t>
  </si>
  <si>
    <t>Pneu :</t>
  </si>
  <si>
    <t>Para brisa:</t>
  </si>
  <si>
    <t>Veículo segurado:</t>
  </si>
  <si>
    <t>Volume de combustível:</t>
  </si>
  <si>
    <t>Outros itens:</t>
  </si>
  <si>
    <t>RELAÇÃO DE EQUIPAMENTOS HOSPITALARES RECEBIDOS:</t>
  </si>
  <si>
    <t>OBSERVAÇÕES:</t>
  </si>
  <si>
    <t>Observações: Fazer relatorio fotografico</t>
  </si>
  <si>
    <t>Conformidade com a Resolução nº 14/98 CONTRAN: vide formulário anexo.</t>
  </si>
  <si>
    <t>Camaragibe, ____ de ___________de ______</t>
  </si>
  <si>
    <t>_____________________________</t>
  </si>
  <si>
    <t>(GESTOR DO CONTRATO)</t>
  </si>
  <si>
    <t>(RESPRESENTANTE DA CONTRATADA)</t>
  </si>
</sst>
</file>

<file path=xl/styles.xml><?xml version="1.0" encoding="utf-8"?>
<styleSheet xmlns="http://schemas.openxmlformats.org/spreadsheetml/2006/main">
  <numFmts count="28">
    <numFmt numFmtId="176" formatCode="_-* #,###.##000_-;\-* #,###.##000_-;_-* \-??_-;_-@_-"/>
    <numFmt numFmtId="177" formatCode="_-&quot;R$&quot;\ * #,##0_-;\-&quot;R$&quot;\ * #,##0_-;_-&quot;R$&quot;\ * &quot;-&quot;_-;_-@_-"/>
    <numFmt numFmtId="178" formatCode="_-* #,##0.00_-;\-* #,##0.00_-;_-* \-??_-;_-@_-"/>
    <numFmt numFmtId="179" formatCode="_-&quot;R$ &quot;* #,##0.00_-;&quot;-R$ &quot;* #,##0.00_-;_-&quot;R$ &quot;* \-??_-;_-@_-"/>
    <numFmt numFmtId="180" formatCode="_-* #,##0_-;\-* #,##0_-;_-* &quot;-&quot;_-;_-@_-"/>
    <numFmt numFmtId="181" formatCode="_-* #,##0.0_-;\-* #,##0.0_-;_-* \-??_-;_-@_-"/>
    <numFmt numFmtId="182" formatCode="_-&quot;R$&quot;\ * #,##0.00_-;\-&quot;R$&quot;\ * #,##0.00_-;_-&quot;R$&quot;\ * &quot;-&quot;??_-;_-@_-"/>
    <numFmt numFmtId="183" formatCode="_-* #,##0.00_-;\-* #,##0.00_-;_-* &quot;-&quot;??_-;_-@_-"/>
    <numFmt numFmtId="184" formatCode="&quot;R$&quot;\ #,##0.000_);[Red]\(&quot;R$&quot;\ #,##0.000\)"/>
    <numFmt numFmtId="185" formatCode="_(* #,##0.00_);_(* \(#,##0.00\);_(* \-??_);_(@_)"/>
    <numFmt numFmtId="186" formatCode="_(* #,##0.0000_);_(* \(#,##0.0000\);_(* \-??_);_(@_)"/>
    <numFmt numFmtId="187" formatCode="&quot;R$ &quot;#,##0.00_);&quot;(R$ &quot;#,##0.00\)"/>
    <numFmt numFmtId="188" formatCode="&quot;R$&quot;#,##0.00"/>
    <numFmt numFmtId="189" formatCode="_(* #,##0_);_(* \(#,##0\);_(* \-??_);_(@_)"/>
    <numFmt numFmtId="190" formatCode="_-* #,##0_-;\-* #,##0_-;_-* \-??_-;_-@_-"/>
    <numFmt numFmtId="191" formatCode="&quot;R$&quot;\ #,##0.00_);[Red]\(&quot;R$&quot;\ #,##0.00\)"/>
    <numFmt numFmtId="192" formatCode="&quot;R$&quot;\ #,###.##000_);[Red]\(&quot;R$&quot;\ #,###.##000\)"/>
    <numFmt numFmtId="193" formatCode="0.00_ "/>
    <numFmt numFmtId="194" formatCode="_(* #,##0.0_);_(* \(#,##0.0\);_(* \-??_);_(@_)"/>
    <numFmt numFmtId="195" formatCode="_-* #,##0.0_-;\-* #,##0.0_-;_-* \-?_-;_-@_-"/>
    <numFmt numFmtId="196" formatCode="0.0000%"/>
    <numFmt numFmtId="197" formatCode="_(* #,##0.000_);_(* \(#,##0.000\);_(* \-??_);_(@_)"/>
    <numFmt numFmtId="198" formatCode="_(* #,##0_);_(* \(#,##0\);_(* \-_);_(@_)"/>
    <numFmt numFmtId="199" formatCode="&quot;R$ &quot;#,##0.00"/>
    <numFmt numFmtId="200" formatCode="&quot;R$&quot;\ #,##0.00_);[Red]\(&quot;R$&quot;\ #,###.00\)"/>
    <numFmt numFmtId="201" formatCode="&quot;R$&quot;\ #,##0.0000_);[Red]\(&quot;R$&quot;\ #,##0.0000\)"/>
    <numFmt numFmtId="202" formatCode="0.00_);[Red]\(0.00\)"/>
    <numFmt numFmtId="203" formatCode="&quot;R$&quot;#,##0.00_);[Red]\(&quot;R$&quot;#,##0.00\)"/>
  </numFmts>
  <fonts count="56">
    <font>
      <sz val="10"/>
      <color theme="1"/>
      <name val="Calibri"/>
      <charset val="134"/>
      <scheme val="minor"/>
    </font>
    <font>
      <sz val="10"/>
      <color rgb="FF000000"/>
      <name val="Times New Roman"/>
      <charset val="134"/>
    </font>
    <font>
      <sz val="15"/>
      <color theme="1"/>
      <name val="Times New Roman"/>
      <charset val="134"/>
    </font>
    <font>
      <sz val="11"/>
      <color theme="1"/>
      <name val="Times New Roman"/>
      <charset val="134"/>
    </font>
    <font>
      <b/>
      <sz val="16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6"/>
      <color theme="1"/>
      <name val="Times New Roman"/>
      <charset val="134"/>
    </font>
    <font>
      <sz val="10"/>
      <color theme="1"/>
      <name val="Times New Roman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b/>
      <sz val="16"/>
      <color rgb="FF000000"/>
      <name val="Times New Roman"/>
      <charset val="134"/>
    </font>
    <font>
      <b/>
      <sz val="12"/>
      <color rgb="FF000000"/>
      <name val="Arial"/>
      <charset val="134"/>
    </font>
    <font>
      <sz val="9"/>
      <name val="Arial"/>
      <charset val="134"/>
    </font>
    <font>
      <sz val="10"/>
      <name val="Times New Roman"/>
      <charset val="134"/>
    </font>
    <font>
      <sz val="8"/>
      <name val="Arial"/>
      <charset val="134"/>
    </font>
    <font>
      <sz val="12"/>
      <color rgb="FFFF0000"/>
      <name val="Times New Roman"/>
      <charset val="134"/>
    </font>
    <font>
      <sz val="12"/>
      <color indexed="10"/>
      <name val="Times New Roman"/>
      <charset val="134"/>
    </font>
    <font>
      <sz val="8"/>
      <name val="Times New Roman"/>
      <charset val="134"/>
    </font>
    <font>
      <b/>
      <sz val="8"/>
      <name val="Arial"/>
      <charset val="134"/>
    </font>
    <font>
      <sz val="10"/>
      <name val="Arial"/>
      <charset val="134"/>
    </font>
    <font>
      <b/>
      <sz val="10"/>
      <color rgb="FF000000"/>
      <name val="Times New Roman"/>
      <charset val="134"/>
    </font>
    <font>
      <sz val="14"/>
      <name val="Times New Roman"/>
      <charset val="134"/>
    </font>
    <font>
      <b/>
      <sz val="14"/>
      <name val="Times New Roman"/>
      <charset val="134"/>
    </font>
    <font>
      <b/>
      <sz val="14"/>
      <color theme="1"/>
      <name val="Times New Roman"/>
      <charset val="134"/>
    </font>
    <font>
      <sz val="14"/>
      <color indexed="8"/>
      <name val="Times New Roman"/>
      <charset val="134"/>
    </font>
    <font>
      <sz val="10"/>
      <color indexed="10"/>
      <name val="Times New Roman"/>
      <charset val="134"/>
    </font>
    <font>
      <sz val="16"/>
      <name val="Times New Roman"/>
      <charset val="134"/>
    </font>
    <font>
      <b/>
      <sz val="12"/>
      <color indexed="10"/>
      <name val="Times New Roman"/>
      <charset val="134"/>
    </font>
    <font>
      <b/>
      <sz val="9"/>
      <color rgb="FF000000"/>
      <name val="Times New Roman"/>
      <charset val="134"/>
    </font>
    <font>
      <sz val="12"/>
      <color rgb="FFFFFFFF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Calibri"/>
      <charset val="1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indexed="8"/>
      <name val="Calibri"/>
      <charset val="134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0"/>
      <color indexed="8"/>
      <name val="Arial"/>
      <charset val="134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799951170384838"/>
        <bgColor indexed="31"/>
      </patternFill>
    </fill>
    <fill>
      <patternFill patternType="solid">
        <fgColor theme="4" tint="0.799981688894314"/>
        <bgColor indexed="31"/>
      </patternFill>
    </fill>
    <fill>
      <patternFill patternType="solid">
        <fgColor theme="4" tint="0.799951170384838"/>
        <bgColor indexed="23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9"/>
      </patternFill>
    </fill>
    <fill>
      <patternFill patternType="solid">
        <fgColor theme="4" tint="0.599993896298105"/>
        <bgColor indexed="38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5"/>
        <bgColor indexed="22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003300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>
      <alignment vertical="center"/>
    </xf>
    <xf numFmtId="0" fontId="37" fillId="21" borderId="15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40" fillId="0" borderId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0" fillId="30" borderId="17" applyNumberFormat="0" applyFont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/>
    <xf numFmtId="186" fontId="40" fillId="0" borderId="0" applyFill="0" applyBorder="0" applyAlignment="0" applyProtection="0"/>
    <xf numFmtId="0" fontId="49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3" fillId="29" borderId="16" applyNumberFormat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51" fillId="33" borderId="19" applyNumberFormat="0" applyAlignment="0" applyProtection="0">
      <alignment vertical="center"/>
    </xf>
    <xf numFmtId="0" fontId="55" fillId="33" borderId="16" applyNumberFormat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0" fillId="0" borderId="0"/>
    <xf numFmtId="0" fontId="39" fillId="40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185" fontId="40" fillId="0" borderId="0" applyFill="0" applyBorder="0" applyAlignment="0" applyProtection="0"/>
    <xf numFmtId="0" fontId="39" fillId="26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22" fillId="0" borderId="0"/>
    <xf numFmtId="0" fontId="38" fillId="31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0" borderId="0"/>
    <xf numFmtId="0" fontId="39" fillId="45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4" fillId="0" borderId="0"/>
    <xf numFmtId="179" fontId="40" fillId="0" borderId="0" applyFill="0" applyBorder="0" applyAlignment="0" applyProtection="0"/>
    <xf numFmtId="0" fontId="40" fillId="0" borderId="0"/>
    <xf numFmtId="0" fontId="1" fillId="0" borderId="0"/>
    <xf numFmtId="9" fontId="40" fillId="0" borderId="0" applyFill="0" applyBorder="0" applyAlignment="0" applyProtection="0"/>
    <xf numFmtId="0" fontId="22" fillId="0" borderId="0"/>
    <xf numFmtId="0" fontId="22" fillId="0" borderId="0"/>
    <xf numFmtId="0" fontId="40" fillId="0" borderId="0"/>
    <xf numFmtId="187" fontId="40" fillId="0" borderId="0" applyFill="0" applyBorder="0" applyAlignment="0" applyProtection="0"/>
    <xf numFmtId="178" fontId="40" fillId="0" borderId="0" applyFill="0" applyBorder="0" applyAlignment="0" applyProtection="0"/>
    <xf numFmtId="178" fontId="1" fillId="0" borderId="0" applyBorder="0" applyProtection="0"/>
    <xf numFmtId="178" fontId="40" fillId="0" borderId="0" applyFill="0" applyBorder="0" applyAlignment="0" applyProtection="0"/>
  </cellStyleXfs>
  <cellXfs count="324">
    <xf numFmtId="0" fontId="0" fillId="0" borderId="0" xfId="0">
      <alignment vertical="center"/>
    </xf>
    <xf numFmtId="0" fontId="1" fillId="0" borderId="0" xfId="59" applyFont="1" applyFill="1" applyBorder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1" xfId="59" applyFont="1" applyFill="1" applyBorder="1" applyAlignment="1">
      <alignment horizontal="center"/>
    </xf>
    <xf numFmtId="0" fontId="4" fillId="0" borderId="2" xfId="59" applyFont="1" applyFill="1" applyBorder="1" applyAlignment="1">
      <alignment horizontal="center"/>
    </xf>
    <xf numFmtId="0" fontId="4" fillId="0" borderId="3" xfId="59" applyFont="1" applyFill="1" applyBorder="1" applyAlignment="1">
      <alignment horizontal="center"/>
    </xf>
    <xf numFmtId="0" fontId="5" fillId="0" borderId="4" xfId="59" applyFont="1" applyFill="1" applyBorder="1" applyAlignment="1">
      <alignment horizontal="center" vertical="center"/>
    </xf>
    <xf numFmtId="4" fontId="6" fillId="0" borderId="4" xfId="59" applyNumberFormat="1" applyFont="1" applyFill="1" applyBorder="1" applyAlignment="1">
      <alignment horizontal="left" vertical="center" wrapText="1"/>
    </xf>
    <xf numFmtId="0" fontId="5" fillId="0" borderId="5" xfId="59" applyFont="1" applyFill="1" applyBorder="1" applyAlignment="1">
      <alignment horizontal="center" vertical="center"/>
    </xf>
    <xf numFmtId="0" fontId="6" fillId="0" borderId="5" xfId="59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6" xfId="59" applyFont="1" applyFill="1" applyBorder="1" applyAlignment="1">
      <alignment horizontal="center"/>
    </xf>
    <xf numFmtId="0" fontId="4" fillId="0" borderId="7" xfId="59" applyFont="1" applyFill="1" applyBorder="1" applyAlignment="1">
      <alignment horizontal="center"/>
    </xf>
    <xf numFmtId="0" fontId="4" fillId="0" borderId="8" xfId="59" applyFont="1" applyFill="1" applyBorder="1" applyAlignment="1">
      <alignment horizontal="center"/>
    </xf>
    <xf numFmtId="0" fontId="4" fillId="0" borderId="9" xfId="59" applyFont="1" applyFill="1" applyBorder="1" applyAlignment="1">
      <alignment horizontal="center" vertical="center"/>
    </xf>
    <xf numFmtId="0" fontId="4" fillId="0" borderId="10" xfId="59" applyFont="1" applyFill="1" applyBorder="1" applyAlignment="1">
      <alignment horizontal="center" vertical="center"/>
    </xf>
    <xf numFmtId="0" fontId="4" fillId="0" borderId="11" xfId="59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 wrapText="1"/>
    </xf>
    <xf numFmtId="4" fontId="6" fillId="0" borderId="1" xfId="59" applyNumberFormat="1" applyFont="1" applyFill="1" applyBorder="1" applyAlignment="1">
      <alignment horizontal="justify" vertical="center" wrapText="1"/>
    </xf>
    <xf numFmtId="0" fontId="6" fillId="0" borderId="2" xfId="59" applyFont="1" applyFill="1" applyBorder="1" applyAlignment="1">
      <alignment horizontal="justify" vertical="center" wrapText="1"/>
    </xf>
    <xf numFmtId="0" fontId="6" fillId="0" borderId="3" xfId="59" applyFont="1" applyFill="1" applyBorder="1" applyAlignment="1">
      <alignment horizontal="justify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11" fillId="0" borderId="5" xfId="59" applyFont="1" applyFill="1" applyBorder="1" applyAlignment="1">
      <alignment horizontal="center" vertical="center"/>
    </xf>
    <xf numFmtId="0" fontId="12" fillId="0" borderId="5" xfId="59" applyFont="1" applyFill="1" applyBorder="1" applyAlignment="1">
      <alignment horizontal="center" vertical="center"/>
    </xf>
    <xf numFmtId="10" fontId="12" fillId="0" borderId="5" xfId="66" applyNumberFormat="1" applyFont="1" applyFill="1" applyBorder="1" applyAlignment="1">
      <alignment horizontal="center" vertical="center"/>
    </xf>
    <xf numFmtId="10" fontId="12" fillId="0" borderId="5" xfId="66" applyNumberFormat="1" applyFont="1" applyFill="1" applyBorder="1" applyAlignment="1" applyProtection="1">
      <alignment horizontal="center" vertical="center"/>
    </xf>
    <xf numFmtId="0" fontId="11" fillId="0" borderId="5" xfId="59" applyFont="1" applyFill="1" applyBorder="1" applyAlignment="1">
      <alignment horizontal="center" vertical="center" wrapText="1"/>
    </xf>
    <xf numFmtId="0" fontId="13" fillId="2" borderId="5" xfId="59" applyFont="1" applyFill="1" applyBorder="1" applyAlignment="1">
      <alignment horizontal="center" vertical="center"/>
    </xf>
    <xf numFmtId="2" fontId="13" fillId="2" borderId="5" xfId="66" applyNumberFormat="1" applyFont="1" applyFill="1" applyBorder="1" applyAlignment="1">
      <alignment horizontal="center" vertical="center"/>
    </xf>
    <xf numFmtId="0" fontId="12" fillId="4" borderId="12" xfId="59" applyFont="1" applyFill="1" applyBorder="1" applyAlignment="1">
      <alignment horizontal="center" wrapText="1"/>
    </xf>
    <xf numFmtId="0" fontId="12" fillId="4" borderId="0" xfId="59" applyFont="1" applyFill="1" applyBorder="1" applyAlignment="1">
      <alignment horizontal="center" wrapText="1"/>
    </xf>
    <xf numFmtId="0" fontId="12" fillId="4" borderId="13" xfId="59" applyFont="1" applyFill="1" applyBorder="1" applyAlignment="1">
      <alignment horizontal="center" wrapText="1"/>
    </xf>
    <xf numFmtId="0" fontId="12" fillId="4" borderId="12" xfId="59" applyFont="1" applyFill="1" applyBorder="1" applyAlignment="1">
      <alignment vertical="justify"/>
    </xf>
    <xf numFmtId="0" fontId="12" fillId="4" borderId="0" xfId="59" applyFont="1" applyFill="1" applyBorder="1" applyAlignment="1">
      <alignment vertical="justify"/>
    </xf>
    <xf numFmtId="0" fontId="12" fillId="4" borderId="13" xfId="59" applyFont="1" applyFill="1" applyBorder="1" applyAlignment="1">
      <alignment vertical="justify"/>
    </xf>
    <xf numFmtId="0" fontId="1" fillId="0" borderId="9" xfId="59" applyFont="1" applyFill="1" applyBorder="1" applyAlignment="1"/>
    <xf numFmtId="0" fontId="14" fillId="0" borderId="10" xfId="59" applyFont="1" applyFill="1" applyBorder="1" applyAlignment="1">
      <alignment horizontal="center" vertical="justify"/>
    </xf>
    <xf numFmtId="0" fontId="1" fillId="0" borderId="10" xfId="59" applyFont="1" applyFill="1" applyBorder="1" applyAlignment="1"/>
    <xf numFmtId="0" fontId="1" fillId="0" borderId="11" xfId="59" applyFont="1" applyFill="1" applyBorder="1" applyAlignment="1"/>
    <xf numFmtId="0" fontId="14" fillId="0" borderId="0" xfId="59" applyFont="1" applyFill="1" applyBorder="1" applyAlignment="1">
      <alignment horizontal="center" vertical="justify"/>
    </xf>
    <xf numFmtId="0" fontId="14" fillId="0" borderId="0" xfId="59" applyFont="1" applyFill="1" applyBorder="1" applyAlignment="1">
      <alignment horizontal="center" vertical="center"/>
    </xf>
    <xf numFmtId="0" fontId="6" fillId="0" borderId="0" xfId="40" applyFont="1" applyAlignment="1">
      <alignment vertical="center"/>
    </xf>
    <xf numFmtId="0" fontId="6" fillId="3" borderId="0" xfId="40" applyFont="1" applyFill="1" applyAlignment="1">
      <alignment vertical="center"/>
    </xf>
    <xf numFmtId="0" fontId="15" fillId="0" borderId="0" xfId="40" applyFont="1" applyFill="1" applyBorder="1" applyAlignment="1">
      <alignment vertical="center"/>
    </xf>
    <xf numFmtId="0" fontId="16" fillId="5" borderId="6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7" fillId="0" borderId="0" xfId="4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justify" vertical="center" wrapText="1"/>
    </xf>
    <xf numFmtId="4" fontId="6" fillId="0" borderId="5" xfId="0" applyNumberFormat="1" applyFont="1" applyFill="1" applyBorder="1" applyAlignment="1">
      <alignment horizontal="justify" vertical="center" wrapText="1"/>
    </xf>
    <xf numFmtId="49" fontId="5" fillId="0" borderId="5" xfId="0" applyNumberFormat="1" applyFont="1" applyFill="1" applyBorder="1" applyAlignment="1">
      <alignment horizontal="justify" vertical="center"/>
    </xf>
    <xf numFmtId="49" fontId="5" fillId="0" borderId="5" xfId="0" applyNumberFormat="1" applyFont="1" applyFill="1" applyBorder="1" applyAlignment="1">
      <alignment horizontal="justify" vertical="center" wrapText="1"/>
    </xf>
    <xf numFmtId="0" fontId="5" fillId="6" borderId="5" xfId="40" applyFont="1" applyFill="1" applyBorder="1" applyAlignment="1">
      <alignment horizontal="center" vertical="center"/>
    </xf>
    <xf numFmtId="0" fontId="5" fillId="0" borderId="5" xfId="40" applyFont="1" applyBorder="1" applyAlignment="1">
      <alignment horizontal="left" vertical="center" wrapText="1"/>
    </xf>
    <xf numFmtId="0" fontId="5" fillId="7" borderId="5" xfId="40" applyFont="1" applyFill="1" applyBorder="1" applyAlignment="1">
      <alignment horizontal="center" vertical="center"/>
    </xf>
    <xf numFmtId="0" fontId="5" fillId="8" borderId="5" xfId="40" applyFont="1" applyFill="1" applyBorder="1" applyAlignment="1">
      <alignment horizontal="left" vertical="center"/>
    </xf>
    <xf numFmtId="0" fontId="6" fillId="7" borderId="5" xfId="40" applyFont="1" applyFill="1" applyBorder="1" applyAlignment="1">
      <alignment horizontal="left" vertical="center"/>
    </xf>
    <xf numFmtId="0" fontId="6" fillId="0" borderId="5" xfId="40" applyFont="1" applyBorder="1" applyAlignment="1">
      <alignment horizontal="center" vertical="center"/>
    </xf>
    <xf numFmtId="0" fontId="6" fillId="0" borderId="5" xfId="40" applyFont="1" applyBorder="1" applyAlignment="1">
      <alignment vertical="center"/>
    </xf>
    <xf numFmtId="0" fontId="6" fillId="0" borderId="5" xfId="40" applyFont="1" applyBorder="1" applyAlignment="1">
      <alignment horizontal="left" vertical="center"/>
    </xf>
    <xf numFmtId="185" fontId="6" fillId="3" borderId="5" xfId="40" applyNumberFormat="1" applyFont="1" applyFill="1" applyBorder="1" applyAlignment="1">
      <alignment horizontal="right" vertical="center"/>
    </xf>
    <xf numFmtId="189" fontId="6" fillId="0" borderId="5" xfId="64" applyNumberFormat="1" applyFont="1" applyFill="1" applyBorder="1" applyAlignment="1" applyProtection="1">
      <alignment horizontal="right" vertical="center"/>
    </xf>
    <xf numFmtId="0" fontId="6" fillId="0" borderId="5" xfId="40" applyFont="1" applyBorder="1" applyAlignment="1">
      <alignment horizontal="left" vertical="center" wrapText="1"/>
    </xf>
    <xf numFmtId="9" fontId="6" fillId="0" borderId="5" xfId="6" applyNumberFormat="1" applyFont="1" applyFill="1" applyBorder="1" applyAlignment="1" applyProtection="1">
      <alignment horizontal="right" vertical="center"/>
    </xf>
    <xf numFmtId="190" fontId="6" fillId="0" borderId="5" xfId="65" applyNumberFormat="1" applyFont="1" applyFill="1" applyBorder="1" applyAlignment="1" applyProtection="1">
      <alignment horizontal="right" vertical="center"/>
    </xf>
    <xf numFmtId="0" fontId="5" fillId="0" borderId="5" xfId="40" applyFont="1" applyBorder="1" applyAlignment="1">
      <alignment horizontal="right" vertical="center"/>
    </xf>
    <xf numFmtId="185" fontId="5" fillId="0" borderId="5" xfId="31" applyNumberFormat="1" applyFont="1" applyBorder="1" applyAlignment="1">
      <alignment vertical="center"/>
    </xf>
    <xf numFmtId="0" fontId="6" fillId="7" borderId="5" xfId="40" applyFont="1" applyFill="1" applyBorder="1" applyAlignment="1">
      <alignment vertical="center"/>
    </xf>
    <xf numFmtId="10" fontId="6" fillId="0" borderId="5" xfId="12" applyNumberFormat="1" applyFont="1" applyFill="1" applyBorder="1" applyAlignment="1" applyProtection="1">
      <alignment horizontal="right" vertical="center"/>
    </xf>
    <xf numFmtId="185" fontId="5" fillId="0" borderId="5" xfId="40" applyNumberFormat="1" applyFont="1" applyBorder="1" applyAlignment="1">
      <alignment vertical="center"/>
    </xf>
    <xf numFmtId="0" fontId="5" fillId="7" borderId="5" xfId="40" applyFont="1" applyFill="1" applyBorder="1" applyAlignment="1">
      <alignment horizontal="right" vertical="center"/>
    </xf>
    <xf numFmtId="185" fontId="5" fillId="9" borderId="5" xfId="40" applyNumberFormat="1" applyFont="1" applyFill="1" applyBorder="1" applyAlignment="1">
      <alignment horizontal="left" vertical="center"/>
    </xf>
    <xf numFmtId="0" fontId="17" fillId="3" borderId="0" xfId="40" applyFont="1" applyFill="1" applyBorder="1" applyAlignment="1">
      <alignment vertical="center"/>
    </xf>
    <xf numFmtId="0" fontId="5" fillId="7" borderId="5" xfId="40" applyFont="1" applyFill="1" applyBorder="1" applyAlignment="1">
      <alignment horizontal="left" vertical="center"/>
    </xf>
    <xf numFmtId="185" fontId="5" fillId="7" borderId="5" xfId="40" applyNumberFormat="1" applyFont="1" applyFill="1" applyBorder="1" applyAlignment="1">
      <alignment horizontal="left" vertical="center"/>
    </xf>
    <xf numFmtId="185" fontId="5" fillId="3" borderId="5" xfId="31" applyNumberFormat="1" applyFont="1" applyFill="1" applyBorder="1" applyAlignment="1">
      <alignment vertical="center"/>
    </xf>
    <xf numFmtId="0" fontId="5" fillId="8" borderId="5" xfId="40" applyFont="1" applyFill="1" applyBorder="1" applyAlignment="1">
      <alignment horizontal="center" vertical="center"/>
    </xf>
    <xf numFmtId="0" fontId="5" fillId="8" borderId="5" xfId="40" applyFont="1" applyFill="1" applyBorder="1" applyAlignment="1">
      <alignment vertical="center"/>
    </xf>
    <xf numFmtId="0" fontId="6" fillId="8" borderId="5" xfId="40" applyFont="1" applyFill="1" applyBorder="1" applyAlignment="1">
      <alignment horizontal="center" vertical="center"/>
    </xf>
    <xf numFmtId="191" fontId="5" fillId="10" borderId="5" xfId="40" applyNumberFormat="1" applyFont="1" applyFill="1" applyBorder="1" applyAlignment="1">
      <alignment vertical="center"/>
    </xf>
    <xf numFmtId="192" fontId="18" fillId="0" borderId="0" xfId="62" applyNumberFormat="1" applyFont="1" applyAlignment="1">
      <alignment vertical="center"/>
    </xf>
    <xf numFmtId="179" fontId="18" fillId="0" borderId="0" xfId="9" applyNumberFormat="1" applyFont="1" applyFill="1" applyBorder="1" applyAlignment="1" applyProtection="1">
      <alignment vertical="center"/>
    </xf>
    <xf numFmtId="179" fontId="17" fillId="0" borderId="0" xfId="57" applyFont="1" applyFill="1" applyBorder="1" applyAlignment="1" applyProtection="1">
      <alignment vertical="center"/>
    </xf>
    <xf numFmtId="185" fontId="6" fillId="0" borderId="5" xfId="40" applyNumberFormat="1" applyFont="1" applyBorder="1" applyAlignment="1">
      <alignment vertical="center"/>
    </xf>
    <xf numFmtId="185" fontId="6" fillId="0" borderId="0" xfId="40" applyNumberFormat="1" applyFont="1" applyBorder="1" applyAlignment="1">
      <alignment vertical="center"/>
    </xf>
    <xf numFmtId="191" fontId="5" fillId="10" borderId="0" xfId="40" applyNumberFormat="1" applyFont="1" applyFill="1" applyBorder="1" applyAlignment="1">
      <alignment vertical="center"/>
    </xf>
    <xf numFmtId="178" fontId="17" fillId="0" borderId="0" xfId="40" applyNumberFormat="1" applyFont="1" applyFill="1" applyBorder="1" applyAlignment="1">
      <alignment vertical="center"/>
    </xf>
    <xf numFmtId="0" fontId="19" fillId="0" borderId="5" xfId="40" applyFont="1" applyBorder="1" applyAlignment="1">
      <alignment horizontal="center" vertical="center"/>
    </xf>
    <xf numFmtId="0" fontId="19" fillId="0" borderId="5" xfId="40" applyFont="1" applyBorder="1" applyAlignment="1">
      <alignment horizontal="left" vertical="center"/>
    </xf>
    <xf numFmtId="185" fontId="19" fillId="0" borderId="5" xfId="40" applyNumberFormat="1" applyFont="1" applyBorder="1" applyAlignment="1">
      <alignment vertical="center"/>
    </xf>
    <xf numFmtId="185" fontId="19" fillId="0" borderId="0" xfId="40" applyNumberFormat="1" applyFont="1" applyBorder="1" applyAlignment="1">
      <alignment vertical="center"/>
    </xf>
    <xf numFmtId="185" fontId="17" fillId="0" borderId="0" xfId="40" applyNumberFormat="1" applyFont="1" applyFill="1" applyBorder="1" applyAlignment="1">
      <alignment vertical="center"/>
    </xf>
    <xf numFmtId="0" fontId="6" fillId="0" borderId="5" xfId="40" applyFont="1" applyBorder="1" applyAlignment="1">
      <alignment horizontal="left"/>
    </xf>
    <xf numFmtId="0" fontId="6" fillId="0" borderId="0" xfId="40" applyFont="1" applyBorder="1" applyAlignment="1">
      <alignment vertical="center"/>
    </xf>
    <xf numFmtId="0" fontId="20" fillId="0" borderId="0" xfId="40" applyFont="1" applyAlignment="1">
      <alignment vertical="center"/>
    </xf>
    <xf numFmtId="9" fontId="6" fillId="0" borderId="0" xfId="12" applyFont="1" applyFill="1" applyBorder="1" applyAlignment="1" applyProtection="1">
      <alignment vertical="center"/>
    </xf>
    <xf numFmtId="0" fontId="16" fillId="0" borderId="0" xfId="40" applyFont="1" applyAlignment="1">
      <alignment vertical="center"/>
    </xf>
    <xf numFmtId="0" fontId="16" fillId="5" borderId="0" xfId="0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justify" vertical="center" wrapText="1"/>
    </xf>
    <xf numFmtId="4" fontId="6" fillId="0" borderId="4" xfId="0" applyNumberFormat="1" applyFont="1" applyFill="1" applyBorder="1" applyAlignment="1">
      <alignment horizontal="justify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6" borderId="0" xfId="40" applyFont="1" applyFill="1" applyBorder="1" applyAlignment="1">
      <alignment horizontal="center" vertical="center"/>
    </xf>
    <xf numFmtId="0" fontId="6" fillId="0" borderId="0" xfId="40" applyFont="1" applyBorder="1" applyAlignment="1">
      <alignment horizontal="left" vertical="center" wrapText="1"/>
    </xf>
    <xf numFmtId="195" fontId="17" fillId="0" borderId="0" xfId="40" applyNumberFormat="1" applyFont="1" applyFill="1" applyBorder="1" applyAlignment="1">
      <alignment vertical="center"/>
    </xf>
    <xf numFmtId="0" fontId="5" fillId="0" borderId="5" xfId="40" applyFont="1" applyBorder="1" applyAlignment="1">
      <alignment vertical="center" wrapText="1"/>
    </xf>
    <xf numFmtId="0" fontId="5" fillId="0" borderId="0" xfId="40" applyFont="1" applyBorder="1" applyAlignment="1">
      <alignment vertical="center" wrapText="1"/>
    </xf>
    <xf numFmtId="0" fontId="6" fillId="8" borderId="5" xfId="40" applyFont="1" applyFill="1" applyBorder="1" applyAlignment="1">
      <alignment vertical="center"/>
    </xf>
    <xf numFmtId="0" fontId="6" fillId="8" borderId="0" xfId="40" applyFont="1" applyFill="1" applyBorder="1" applyAlignment="1">
      <alignment vertical="center"/>
    </xf>
    <xf numFmtId="185" fontId="6" fillId="3" borderId="0" xfId="40" applyNumberFormat="1" applyFont="1" applyFill="1" applyBorder="1" applyAlignment="1">
      <alignment horizontal="right" vertical="center"/>
    </xf>
    <xf numFmtId="185" fontId="17" fillId="0" borderId="0" xfId="40" applyNumberFormat="1" applyFont="1" applyFill="1" applyBorder="1" applyAlignment="1">
      <alignment horizontal="right" vertical="center"/>
    </xf>
    <xf numFmtId="9" fontId="17" fillId="0" borderId="0" xfId="60" applyFont="1" applyFill="1" applyBorder="1" applyAlignment="1" applyProtection="1">
      <alignment vertical="center"/>
    </xf>
    <xf numFmtId="194" fontId="6" fillId="0" borderId="5" xfId="64" applyNumberFormat="1" applyFont="1" applyFill="1" applyBorder="1" applyAlignment="1" applyProtection="1">
      <alignment horizontal="right" vertical="center"/>
    </xf>
    <xf numFmtId="194" fontId="6" fillId="0" borderId="0" xfId="64" applyNumberFormat="1" applyFont="1" applyFill="1" applyBorder="1" applyAlignment="1" applyProtection="1">
      <alignment horizontal="right" vertical="center"/>
    </xf>
    <xf numFmtId="9" fontId="6" fillId="0" borderId="0" xfId="6" applyFont="1" applyFill="1" applyBorder="1" applyAlignment="1" applyProtection="1">
      <alignment horizontal="right" vertical="center"/>
    </xf>
    <xf numFmtId="9" fontId="5" fillId="0" borderId="0" xfId="12" applyFont="1" applyFill="1" applyBorder="1" applyAlignment="1" applyProtection="1">
      <alignment vertical="center"/>
    </xf>
    <xf numFmtId="185" fontId="21" fillId="0" borderId="0" xfId="40" applyNumberFormat="1" applyFont="1" applyFill="1" applyBorder="1" applyAlignment="1">
      <alignment vertical="center"/>
    </xf>
    <xf numFmtId="196" fontId="6" fillId="0" borderId="0" xfId="12" applyNumberFormat="1" applyFont="1" applyFill="1" applyBorder="1" applyAlignment="1" applyProtection="1">
      <alignment horizontal="right" vertical="center"/>
    </xf>
    <xf numFmtId="185" fontId="5" fillId="0" borderId="0" xfId="40" applyNumberFormat="1" applyFont="1" applyBorder="1" applyAlignment="1">
      <alignment vertical="center"/>
    </xf>
    <xf numFmtId="0" fontId="6" fillId="0" borderId="5" xfId="40" applyFont="1" applyBorder="1" applyAlignment="1">
      <alignment vertical="center" wrapText="1"/>
    </xf>
    <xf numFmtId="178" fontId="6" fillId="0" borderId="5" xfId="65" applyFont="1" applyFill="1" applyBorder="1" applyAlignment="1" applyProtection="1">
      <alignment horizontal="right" vertical="center"/>
    </xf>
    <xf numFmtId="178" fontId="6" fillId="0" borderId="0" xfId="65" applyFont="1" applyFill="1" applyBorder="1" applyAlignment="1" applyProtection="1">
      <alignment horizontal="right" vertical="center"/>
    </xf>
    <xf numFmtId="0" fontId="6" fillId="0" borderId="5" xfId="40" applyFont="1" applyFill="1" applyBorder="1" applyAlignment="1">
      <alignment vertical="center"/>
    </xf>
    <xf numFmtId="0" fontId="5" fillId="0" borderId="5" xfId="40" applyFont="1" applyBorder="1" applyAlignment="1">
      <alignment horizontal="center" vertical="center"/>
    </xf>
    <xf numFmtId="0" fontId="5" fillId="8" borderId="0" xfId="40" applyFont="1" applyFill="1" applyBorder="1" applyAlignment="1">
      <alignment horizontal="center" vertical="center"/>
    </xf>
    <xf numFmtId="0" fontId="6" fillId="0" borderId="5" xfId="40" applyFont="1" applyFill="1" applyBorder="1" applyAlignment="1">
      <alignment horizontal="left" vertical="center"/>
    </xf>
    <xf numFmtId="182" fontId="6" fillId="3" borderId="5" xfId="9" applyFont="1" applyFill="1" applyBorder="1" applyAlignment="1" applyProtection="1">
      <alignment vertical="center"/>
    </xf>
    <xf numFmtId="197" fontId="6" fillId="3" borderId="0" xfId="64" applyNumberFormat="1" applyFont="1" applyFill="1" applyBorder="1" applyAlignment="1" applyProtection="1">
      <alignment vertical="center"/>
    </xf>
    <xf numFmtId="197" fontId="17" fillId="0" borderId="0" xfId="64" applyNumberFormat="1" applyFont="1" applyFill="1" applyBorder="1" applyAlignment="1" applyProtection="1">
      <alignment vertical="center"/>
    </xf>
    <xf numFmtId="190" fontId="6" fillId="0" borderId="0" xfId="65" applyNumberFormat="1" applyFont="1" applyFill="1" applyBorder="1" applyAlignment="1" applyProtection="1">
      <alignment horizontal="right" vertical="center"/>
    </xf>
    <xf numFmtId="190" fontId="17" fillId="0" borderId="0" xfId="65" applyNumberFormat="1" applyFont="1" applyFill="1" applyBorder="1" applyAlignment="1" applyProtection="1">
      <alignment horizontal="right" vertical="center"/>
    </xf>
    <xf numFmtId="185" fontId="6" fillId="3" borderId="5" xfId="64" applyNumberFormat="1" applyFont="1" applyFill="1" applyBorder="1" applyAlignment="1" applyProtection="1">
      <alignment vertical="center"/>
    </xf>
    <xf numFmtId="185" fontId="6" fillId="3" borderId="0" xfId="64" applyNumberFormat="1" applyFont="1" applyFill="1" applyBorder="1" applyAlignment="1" applyProtection="1">
      <alignment vertical="center"/>
    </xf>
    <xf numFmtId="185" fontId="17" fillId="0" borderId="0" xfId="64" applyNumberFormat="1" applyFont="1" applyFill="1" applyBorder="1" applyAlignment="1" applyProtection="1">
      <alignment vertical="center"/>
    </xf>
    <xf numFmtId="178" fontId="6" fillId="0" borderId="5" xfId="4" applyNumberFormat="1" applyFont="1" applyFill="1" applyBorder="1" applyAlignment="1" applyProtection="1">
      <alignment vertical="center"/>
    </xf>
    <xf numFmtId="178" fontId="6" fillId="0" borderId="0" xfId="4" applyNumberFormat="1" applyFont="1" applyFill="1" applyBorder="1" applyAlignment="1" applyProtection="1">
      <alignment vertical="center"/>
    </xf>
    <xf numFmtId="189" fontId="17" fillId="0" borderId="0" xfId="64" applyNumberFormat="1" applyFont="1" applyFill="1" applyBorder="1" applyAlignment="1" applyProtection="1">
      <alignment vertical="center"/>
    </xf>
    <xf numFmtId="182" fontId="17" fillId="0" borderId="0" xfId="9" applyFont="1" applyFill="1" applyBorder="1" applyAlignment="1" applyProtection="1">
      <alignment vertical="center"/>
    </xf>
    <xf numFmtId="182" fontId="5" fillId="0" borderId="5" xfId="9" applyFont="1" applyFill="1" applyBorder="1" applyAlignment="1" applyProtection="1">
      <alignment vertical="center"/>
    </xf>
    <xf numFmtId="178" fontId="5" fillId="0" borderId="0" xfId="65" applyFont="1" applyFill="1" applyBorder="1" applyAlignment="1" applyProtection="1">
      <alignment vertical="center"/>
    </xf>
    <xf numFmtId="0" fontId="5" fillId="0" borderId="5" xfId="40" applyFont="1" applyBorder="1" applyAlignment="1">
      <alignment vertical="center"/>
    </xf>
    <xf numFmtId="0" fontId="5" fillId="0" borderId="0" xfId="40" applyFont="1" applyBorder="1" applyAlignment="1">
      <alignment vertical="center"/>
    </xf>
    <xf numFmtId="189" fontId="6" fillId="0" borderId="5" xfId="64" applyNumberFormat="1" applyFont="1" applyFill="1" applyBorder="1" applyAlignment="1" applyProtection="1">
      <alignment vertical="center"/>
    </xf>
    <xf numFmtId="189" fontId="6" fillId="0" borderId="0" xfId="64" applyNumberFormat="1" applyFont="1" applyFill="1" applyBorder="1" applyAlignment="1" applyProtection="1">
      <alignment vertical="center"/>
    </xf>
    <xf numFmtId="185" fontId="6" fillId="0" borderId="5" xfId="64" applyNumberFormat="1" applyFont="1" applyFill="1" applyBorder="1" applyAlignment="1" applyProtection="1">
      <alignment vertical="center"/>
    </xf>
    <xf numFmtId="185" fontId="6" fillId="0" borderId="0" xfId="64" applyNumberFormat="1" applyFont="1" applyFill="1" applyBorder="1" applyAlignment="1" applyProtection="1">
      <alignment vertical="center"/>
    </xf>
    <xf numFmtId="198" fontId="6" fillId="0" borderId="5" xfId="40" applyNumberFormat="1" applyFont="1" applyBorder="1" applyAlignment="1">
      <alignment vertical="center"/>
    </xf>
    <xf numFmtId="198" fontId="6" fillId="0" borderId="0" xfId="40" applyNumberFormat="1" applyFont="1" applyBorder="1" applyAlignment="1">
      <alignment vertical="center"/>
    </xf>
    <xf numFmtId="185" fontId="6" fillId="3" borderId="5" xfId="40" applyNumberFormat="1" applyFont="1" applyFill="1" applyBorder="1" applyAlignment="1">
      <alignment vertical="center"/>
    </xf>
    <xf numFmtId="185" fontId="6" fillId="3" borderId="0" xfId="40" applyNumberFormat="1" applyFont="1" applyFill="1" applyBorder="1" applyAlignment="1">
      <alignment vertical="center"/>
    </xf>
    <xf numFmtId="195" fontId="5" fillId="0" borderId="5" xfId="40" applyNumberFormat="1" applyFont="1" applyBorder="1" applyAlignment="1">
      <alignment vertical="center"/>
    </xf>
    <xf numFmtId="195" fontId="5" fillId="0" borderId="0" xfId="40" applyNumberFormat="1" applyFont="1" applyBorder="1" applyAlignment="1">
      <alignment vertical="center"/>
    </xf>
    <xf numFmtId="0" fontId="6" fillId="0" borderId="5" xfId="62" applyFont="1" applyBorder="1" applyAlignment="1">
      <alignment horizontal="left" vertical="center" wrapText="1"/>
    </xf>
    <xf numFmtId="200" fontId="6" fillId="0" borderId="5" xfId="65" applyNumberFormat="1" applyFont="1" applyFill="1" applyBorder="1" applyAlignment="1" applyProtection="1">
      <alignment vertical="center"/>
    </xf>
    <xf numFmtId="201" fontId="18" fillId="0" borderId="0" xfId="62" applyNumberFormat="1" applyFont="1" applyAlignment="1">
      <alignment vertical="center"/>
    </xf>
    <xf numFmtId="0" fontId="6" fillId="0" borderId="5" xfId="62" applyFont="1" applyBorder="1" applyAlignment="1">
      <alignment horizontal="right" vertical="center" wrapText="1"/>
    </xf>
    <xf numFmtId="0" fontId="18" fillId="0" borderId="0" xfId="62" applyFont="1" applyAlignment="1">
      <alignment vertical="center"/>
    </xf>
    <xf numFmtId="184" fontId="5" fillId="0" borderId="5" xfId="65" applyNumberFormat="1" applyFont="1" applyFill="1" applyBorder="1" applyAlignment="1" applyProtection="1">
      <alignment vertical="center"/>
    </xf>
    <xf numFmtId="178" fontId="6" fillId="0" borderId="5" xfId="65" applyFont="1" applyFill="1" applyBorder="1" applyAlignment="1" applyProtection="1">
      <alignment vertical="center"/>
    </xf>
    <xf numFmtId="201" fontId="17" fillId="0" borderId="0" xfId="40" applyNumberFormat="1" applyFont="1" applyFill="1" applyBorder="1" applyAlignment="1">
      <alignment vertical="center"/>
    </xf>
    <xf numFmtId="191" fontId="5" fillId="0" borderId="5" xfId="65" applyNumberFormat="1" applyFont="1" applyFill="1" applyBorder="1" applyAlignment="1" applyProtection="1">
      <alignment vertical="center"/>
    </xf>
    <xf numFmtId="0" fontId="16" fillId="0" borderId="5" xfId="40" applyFont="1" applyBorder="1" applyAlignment="1">
      <alignment horizontal="left" vertical="center"/>
    </xf>
    <xf numFmtId="0" fontId="16" fillId="0" borderId="0" xfId="40" applyFont="1" applyBorder="1" applyAlignment="1">
      <alignment vertical="center"/>
    </xf>
    <xf numFmtId="0" fontId="22" fillId="0" borderId="0" xfId="40" applyFont="1" applyFill="1" applyBorder="1" applyAlignment="1">
      <alignment vertical="center"/>
    </xf>
    <xf numFmtId="0" fontId="2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9" fontId="6" fillId="8" borderId="0" xfId="12" applyFont="1" applyFill="1" applyBorder="1" applyAlignment="1" applyProtection="1">
      <alignment vertical="center"/>
    </xf>
    <xf numFmtId="181" fontId="6" fillId="0" borderId="0" xfId="65" applyNumberFormat="1" applyFont="1" applyFill="1" applyBorder="1" applyAlignment="1" applyProtection="1">
      <alignment horizontal="right" vertical="center"/>
    </xf>
    <xf numFmtId="185" fontId="5" fillId="0" borderId="0" xfId="31" applyNumberFormat="1" applyFont="1" applyBorder="1" applyAlignment="1">
      <alignment vertical="center"/>
    </xf>
    <xf numFmtId="0" fontId="6" fillId="7" borderId="0" xfId="40" applyFont="1" applyFill="1" applyBorder="1" applyAlignment="1">
      <alignment vertical="center"/>
    </xf>
    <xf numFmtId="189" fontId="6" fillId="3" borderId="5" xfId="64" applyNumberFormat="1" applyFont="1" applyFill="1" applyBorder="1" applyAlignment="1" applyProtection="1">
      <alignment horizontal="right" vertical="center"/>
    </xf>
    <xf numFmtId="0" fontId="20" fillId="0" borderId="0" xfId="40" applyFont="1" applyBorder="1" applyAlignment="1">
      <alignment vertical="center"/>
    </xf>
    <xf numFmtId="185" fontId="20" fillId="0" borderId="0" xfId="40" applyNumberFormat="1" applyFont="1" applyAlignment="1">
      <alignment vertical="center"/>
    </xf>
    <xf numFmtId="200" fontId="6" fillId="3" borderId="5" xfId="40" applyNumberFormat="1" applyFont="1" applyFill="1" applyBorder="1" applyAlignment="1">
      <alignment horizontal="right" vertical="center"/>
    </xf>
    <xf numFmtId="200" fontId="5" fillId="0" borderId="5" xfId="31" applyNumberFormat="1" applyFont="1" applyBorder="1" applyAlignment="1">
      <alignment vertical="center"/>
    </xf>
    <xf numFmtId="200" fontId="5" fillId="0" borderId="5" xfId="40" applyNumberFormat="1" applyFont="1" applyBorder="1" applyAlignment="1">
      <alignment vertical="center"/>
    </xf>
    <xf numFmtId="200" fontId="6" fillId="0" borderId="5" xfId="65" applyNumberFormat="1" applyFont="1" applyFill="1" applyBorder="1" applyAlignment="1" applyProtection="1">
      <alignment horizontal="right" vertical="center"/>
    </xf>
    <xf numFmtId="200" fontId="6" fillId="3" borderId="5" xfId="64" applyNumberFormat="1" applyFont="1" applyFill="1" applyBorder="1" applyAlignment="1" applyProtection="1">
      <alignment vertical="center"/>
    </xf>
    <xf numFmtId="200" fontId="6" fillId="3" borderId="5" xfId="40" applyNumberFormat="1" applyFont="1" applyFill="1" applyBorder="1" applyAlignment="1">
      <alignment vertical="center"/>
    </xf>
    <xf numFmtId="200" fontId="6" fillId="8" borderId="0" xfId="40" applyNumberFormat="1" applyFont="1" applyFill="1" applyBorder="1" applyAlignment="1">
      <alignment vertical="center"/>
    </xf>
    <xf numFmtId="200" fontId="5" fillId="0" borderId="5" xfId="65" applyNumberFormat="1" applyFont="1" applyFill="1" applyBorder="1" applyAlignment="1" applyProtection="1">
      <alignment vertical="center"/>
    </xf>
    <xf numFmtId="200" fontId="5" fillId="10" borderId="5" xfId="40" applyNumberFormat="1" applyFont="1" applyFill="1" applyBorder="1" applyAlignment="1">
      <alignment vertical="center"/>
    </xf>
    <xf numFmtId="0" fontId="16" fillId="5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left" vertical="center"/>
    </xf>
    <xf numFmtId="0" fontId="6" fillId="7" borderId="0" xfId="0" applyFont="1" applyFill="1" applyBorder="1" applyAlignment="1" applyProtection="1">
      <alignment horizontal="left" vertical="center"/>
    </xf>
    <xf numFmtId="0" fontId="16" fillId="11" borderId="0" xfId="0" applyFont="1" applyFill="1" applyBorder="1" applyAlignment="1" applyProtection="1">
      <alignment horizontal="left" vertical="center"/>
    </xf>
    <xf numFmtId="0" fontId="24" fillId="7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199" fontId="16" fillId="3" borderId="0" xfId="0" applyNumberFormat="1" applyFont="1" applyFill="1" applyBorder="1" applyAlignment="1" applyProtection="1">
      <alignment vertical="center"/>
    </xf>
    <xf numFmtId="10" fontId="16" fillId="3" borderId="0" xfId="0" applyNumberFormat="1" applyFont="1" applyFill="1" applyBorder="1" applyAlignment="1" applyProtection="1">
      <alignment vertical="center"/>
    </xf>
    <xf numFmtId="4" fontId="16" fillId="12" borderId="0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5" borderId="6" xfId="0" applyFont="1" applyFill="1" applyBorder="1" applyAlignment="1"/>
    <xf numFmtId="0" fontId="16" fillId="5" borderId="7" xfId="0" applyFont="1" applyFill="1" applyBorder="1" applyAlignment="1"/>
    <xf numFmtId="2" fontId="16" fillId="5" borderId="7" xfId="0" applyNumberFormat="1" applyFont="1" applyFill="1" applyBorder="1" applyAlignment="1">
      <alignment horizontal="center" vertical="center"/>
    </xf>
    <xf numFmtId="4" fontId="16" fillId="5" borderId="7" xfId="0" applyNumberFormat="1" applyFont="1" applyFill="1" applyBorder="1" applyAlignment="1">
      <alignment horizontal="center" vertical="center"/>
    </xf>
    <xf numFmtId="4" fontId="25" fillId="0" borderId="4" xfId="0" applyNumberFormat="1" applyFont="1" applyFill="1" applyBorder="1" applyAlignment="1" applyProtection="1">
      <alignment horizontal="left" vertical="center" wrapText="1"/>
      <protection locked="0"/>
    </xf>
    <xf numFmtId="4" fontId="2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5" xfId="0" applyNumberFormat="1" applyFont="1" applyFill="1" applyBorder="1" applyAlignment="1">
      <alignment horizontal="center" vertical="center"/>
    </xf>
    <xf numFmtId="4" fontId="2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6" fillId="13" borderId="5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right" vertical="center" shrinkToFit="1"/>
    </xf>
    <xf numFmtId="0" fontId="25" fillId="2" borderId="5" xfId="0" applyFont="1" applyFill="1" applyBorder="1" applyAlignment="1" applyProtection="1">
      <alignment horizontal="center" vertical="center" wrapText="1"/>
    </xf>
    <xf numFmtId="199" fontId="25" fillId="2" borderId="5" xfId="0" applyNumberFormat="1" applyFont="1" applyFill="1" applyBorder="1" applyAlignment="1" applyProtection="1">
      <alignment horizontal="center" vertical="center" wrapText="1"/>
    </xf>
    <xf numFmtId="10" fontId="25" fillId="2" borderId="5" xfId="0" applyNumberFormat="1" applyFont="1" applyFill="1" applyBorder="1" applyAlignment="1" applyProtection="1">
      <alignment horizontal="center" vertical="center" wrapText="1"/>
    </xf>
    <xf numFmtId="0" fontId="25" fillId="14" borderId="5" xfId="0" applyFont="1" applyFill="1" applyBorder="1" applyAlignment="1" applyProtection="1">
      <alignment horizontal="center" vertical="center" wrapText="1"/>
    </xf>
    <xf numFmtId="0" fontId="25" fillId="14" borderId="5" xfId="0" applyFont="1" applyFill="1" applyBorder="1" applyAlignment="1" applyProtection="1">
      <alignment vertical="center" wrapText="1"/>
    </xf>
    <xf numFmtId="0" fontId="25" fillId="3" borderId="5" xfId="0" applyFont="1" applyFill="1" applyBorder="1" applyAlignment="1" applyProtection="1">
      <alignment horizontal="center" vertical="center" wrapText="1"/>
    </xf>
    <xf numFmtId="0" fontId="24" fillId="3" borderId="5" xfId="0" applyFont="1" applyFill="1" applyBorder="1" applyAlignment="1" applyProtection="1">
      <alignment horizontal="center" vertical="center" wrapText="1"/>
    </xf>
    <xf numFmtId="199" fontId="24" fillId="3" borderId="5" xfId="0" applyNumberFormat="1" applyFont="1" applyFill="1" applyBorder="1" applyAlignment="1" applyProtection="1">
      <alignment horizontal="center" vertical="center" wrapText="1"/>
    </xf>
    <xf numFmtId="10" fontId="24" fillId="3" borderId="5" xfId="0" applyNumberFormat="1" applyFont="1" applyFill="1" applyBorder="1" applyAlignment="1" applyProtection="1">
      <alignment horizontal="center" vertical="center" wrapText="1"/>
    </xf>
    <xf numFmtId="178" fontId="24" fillId="15" borderId="5" xfId="0" applyNumberFormat="1" applyFont="1" applyFill="1" applyBorder="1" applyAlignment="1" applyProtection="1">
      <alignment horizontal="center" vertical="center" wrapText="1"/>
    </xf>
    <xf numFmtId="49" fontId="27" fillId="15" borderId="5" xfId="16" applyNumberFormat="1" applyFont="1" applyFill="1" applyBorder="1" applyAlignment="1">
      <alignment horizontal="center" vertical="center" wrapText="1"/>
    </xf>
    <xf numFmtId="178" fontId="24" fillId="15" borderId="5" xfId="58" applyNumberFormat="1" applyFont="1" applyFill="1" applyBorder="1" applyAlignment="1">
      <alignment horizontal="left" vertical="center" wrapText="1"/>
    </xf>
    <xf numFmtId="178" fontId="24" fillId="15" borderId="5" xfId="58" applyNumberFormat="1" applyFont="1" applyFill="1" applyBorder="1" applyAlignment="1">
      <alignment horizontal="center" vertical="center"/>
    </xf>
    <xf numFmtId="202" fontId="24" fillId="15" borderId="5" xfId="4" applyNumberFormat="1" applyFont="1" applyFill="1" applyBorder="1" applyAlignment="1" applyProtection="1">
      <alignment horizontal="center" vertical="center" wrapText="1"/>
    </xf>
    <xf numFmtId="199" fontId="24" fillId="15" borderId="5" xfId="4" applyNumberFormat="1" applyFont="1" applyFill="1" applyBorder="1" applyAlignment="1" applyProtection="1">
      <alignment horizontal="center" vertical="center" wrapText="1"/>
    </xf>
    <xf numFmtId="10" fontId="24" fillId="15" borderId="5" xfId="12" applyNumberFormat="1" applyFont="1" applyFill="1" applyBorder="1" applyAlignment="1" applyProtection="1">
      <alignment horizontal="center" vertical="center"/>
    </xf>
    <xf numFmtId="4" fontId="25" fillId="16" borderId="5" xfId="0" applyNumberFormat="1" applyFont="1" applyFill="1" applyBorder="1" applyAlignment="1" applyProtection="1">
      <alignment horizontal="right" vertical="center" wrapText="1"/>
    </xf>
    <xf numFmtId="0" fontId="25" fillId="3" borderId="5" xfId="0" applyFont="1" applyFill="1" applyBorder="1" applyAlignment="1" applyProtection="1">
      <alignment horizontal="center" vertical="center"/>
    </xf>
    <xf numFmtId="4" fontId="28" fillId="5" borderId="8" xfId="0" applyNumberFormat="1" applyFont="1" applyFill="1" applyBorder="1" applyAlignment="1"/>
    <xf numFmtId="199" fontId="5" fillId="15" borderId="5" xfId="0" applyNumberFormat="1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 applyProtection="1">
      <alignment vertical="center" wrapText="1"/>
    </xf>
    <xf numFmtId="199" fontId="25" fillId="2" borderId="5" xfId="0" applyNumberFormat="1" applyFont="1" applyFill="1" applyBorder="1" applyAlignment="1" applyProtection="1">
      <alignment horizontal="center" vertical="center"/>
    </xf>
    <xf numFmtId="10" fontId="25" fillId="2" borderId="5" xfId="12" applyNumberFormat="1" applyFont="1" applyFill="1" applyBorder="1" applyAlignment="1" applyProtection="1">
      <alignment horizontal="center" vertical="center" wrapText="1"/>
    </xf>
    <xf numFmtId="199" fontId="24" fillId="3" borderId="5" xfId="0" applyNumberFormat="1" applyFont="1" applyFill="1" applyBorder="1" applyAlignment="1" applyProtection="1">
      <alignment horizontal="center" vertical="center"/>
    </xf>
    <xf numFmtId="10" fontId="25" fillId="3" borderId="5" xfId="12" applyNumberFormat="1" applyFont="1" applyFill="1" applyBorder="1" applyAlignment="1" applyProtection="1">
      <alignment horizontal="center" vertical="center" wrapText="1"/>
    </xf>
    <xf numFmtId="202" fontId="24" fillId="15" borderId="5" xfId="58" applyNumberFormat="1" applyFont="1" applyFill="1" applyBorder="1" applyAlignment="1">
      <alignment horizontal="center" vertical="center"/>
    </xf>
    <xf numFmtId="191" fontId="24" fillId="15" borderId="5" xfId="58" applyNumberFormat="1" applyFont="1" applyFill="1" applyBorder="1" applyAlignment="1">
      <alignment horizontal="center" vertical="center"/>
    </xf>
    <xf numFmtId="10" fontId="25" fillId="15" borderId="5" xfId="0" applyNumberFormat="1" applyFont="1" applyFill="1" applyBorder="1" applyAlignment="1" applyProtection="1">
      <alignment horizontal="center" vertical="center"/>
    </xf>
    <xf numFmtId="182" fontId="29" fillId="3" borderId="0" xfId="9" applyFont="1" applyFill="1" applyBorder="1" applyAlignment="1" applyProtection="1">
      <alignment horizontal="left" vertical="center"/>
    </xf>
    <xf numFmtId="4" fontId="25" fillId="16" borderId="5" xfId="0" applyNumberFormat="1" applyFont="1" applyFill="1" applyBorder="1" applyAlignment="1" applyProtection="1">
      <alignment horizontal="center" vertical="center" wrapText="1"/>
    </xf>
    <xf numFmtId="199" fontId="25" fillId="16" borderId="5" xfId="0" applyNumberFormat="1" applyFont="1" applyFill="1" applyBorder="1" applyAlignment="1" applyProtection="1">
      <alignment horizontal="center" vertical="center" wrapText="1"/>
    </xf>
    <xf numFmtId="9" fontId="25" fillId="16" borderId="5" xfId="0" applyNumberFormat="1" applyFont="1" applyFill="1" applyBorder="1" applyAlignment="1" applyProtection="1">
      <alignment horizontal="center" vertical="center"/>
    </xf>
    <xf numFmtId="199" fontId="30" fillId="3" borderId="0" xfId="0" applyNumberFormat="1" applyFont="1" applyFill="1" applyBorder="1" applyAlignment="1" applyProtection="1">
      <alignment horizontal="right" vertical="center"/>
    </xf>
    <xf numFmtId="0" fontId="16" fillId="3" borderId="0" xfId="0" applyFont="1" applyFill="1" applyAlignment="1" applyProtection="1">
      <alignment horizontal="center" vertical="center"/>
    </xf>
    <xf numFmtId="199" fontId="30" fillId="3" borderId="0" xfId="0" applyNumberFormat="1" applyFont="1" applyFill="1" applyBorder="1" applyAlignment="1" applyProtection="1">
      <alignment vertical="center"/>
    </xf>
    <xf numFmtId="4" fontId="16" fillId="3" borderId="0" xfId="0" applyNumberFormat="1" applyFont="1" applyFill="1" applyAlignment="1" applyProtection="1">
      <alignment vertical="center"/>
    </xf>
    <xf numFmtId="0" fontId="6" fillId="7" borderId="0" xfId="0" applyFont="1" applyFill="1" applyBorder="1" applyAlignment="1" applyProtection="1">
      <alignment horizontal="center" vertical="center"/>
    </xf>
    <xf numFmtId="0" fontId="16" fillId="11" borderId="0" xfId="0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" fontId="25" fillId="0" borderId="12" xfId="0" applyNumberFormat="1" applyFont="1" applyFill="1" applyBorder="1" applyAlignment="1">
      <alignment horizontal="center" wrapText="1"/>
    </xf>
    <xf numFmtId="4" fontId="25" fillId="0" borderId="0" xfId="0" applyNumberFormat="1" applyFont="1" applyFill="1" applyBorder="1" applyAlignment="1">
      <alignment horizontal="center" wrapText="1"/>
    </xf>
    <xf numFmtId="4" fontId="24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left" vertical="center" wrapText="1"/>
    </xf>
    <xf numFmtId="0" fontId="26" fillId="6" borderId="5" xfId="0" applyFont="1" applyFill="1" applyBorder="1" applyAlignment="1">
      <alignment horizontal="center" vertical="center"/>
    </xf>
    <xf numFmtId="0" fontId="25" fillId="17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176" fontId="24" fillId="0" borderId="5" xfId="0" applyNumberFormat="1" applyFont="1" applyFill="1" applyBorder="1" applyAlignment="1">
      <alignment horizontal="left" vertical="center" wrapText="1"/>
    </xf>
    <xf numFmtId="200" fontId="25" fillId="0" borderId="5" xfId="0" applyNumberFormat="1" applyFont="1" applyFill="1" applyBorder="1" applyAlignment="1">
      <alignment horizontal="center" vertical="center" wrapText="1"/>
    </xf>
    <xf numFmtId="200" fontId="25" fillId="0" borderId="5" xfId="0" applyNumberFormat="1" applyFont="1" applyFill="1" applyBorder="1" applyAlignment="1">
      <alignment horizontal="center" vertical="center"/>
    </xf>
    <xf numFmtId="200" fontId="24" fillId="0" borderId="5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right" vertical="center"/>
    </xf>
    <xf numFmtId="10" fontId="25" fillId="0" borderId="5" xfId="0" applyNumberFormat="1" applyFont="1" applyFill="1" applyBorder="1" applyAlignment="1">
      <alignment horizontal="center" vertical="center"/>
    </xf>
    <xf numFmtId="203" fontId="25" fillId="0" borderId="5" xfId="0" applyNumberFormat="1" applyFont="1" applyFill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203" fontId="25" fillId="0" borderId="5" xfId="0" applyNumberFormat="1" applyFont="1" applyFill="1" applyBorder="1" applyAlignment="1">
      <alignment horizontal="center" vertical="center"/>
    </xf>
    <xf numFmtId="4" fontId="25" fillId="17" borderId="5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4" fontId="25" fillId="0" borderId="13" xfId="0" applyNumberFormat="1" applyFont="1" applyFill="1" applyBorder="1" applyAlignment="1">
      <alignment horizontal="center" wrapText="1"/>
    </xf>
    <xf numFmtId="191" fontId="24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/>
    <xf numFmtId="4" fontId="8" fillId="0" borderId="0" xfId="0" applyNumberFormat="1" applyFont="1" applyFill="1" applyAlignment="1"/>
    <xf numFmtId="10" fontId="6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0" fontId="31" fillId="0" borderId="0" xfId="0" applyFont="1" applyFill="1" applyAlignment="1">
      <alignment vertical="center"/>
    </xf>
    <xf numFmtId="0" fontId="12" fillId="0" borderId="0" xfId="0" applyFont="1" applyFill="1" applyAlignment="1"/>
    <xf numFmtId="0" fontId="32" fillId="18" borderId="0" xfId="0" applyFont="1" applyFill="1" applyAlignment="1"/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/>
    <xf numFmtId="4" fontId="4" fillId="0" borderId="9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19" borderId="5" xfId="0" applyFont="1" applyFill="1" applyBorder="1" applyAlignment="1">
      <alignment horizontal="center" vertical="center"/>
    </xf>
    <xf numFmtId="176" fontId="6" fillId="19" borderId="5" xfId="0" applyNumberFormat="1" applyFont="1" applyFill="1" applyBorder="1" applyAlignment="1">
      <alignment horizontal="left" vertical="center" wrapText="1"/>
    </xf>
    <xf numFmtId="0" fontId="6" fillId="19" borderId="5" xfId="0" applyFont="1" applyFill="1" applyBorder="1" applyAlignment="1">
      <alignment horizontal="left" vertical="center" wrapText="1"/>
    </xf>
    <xf numFmtId="199" fontId="6" fillId="19" borderId="5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" fillId="19" borderId="5" xfId="0" applyFont="1" applyFill="1" applyBorder="1" applyAlignment="1">
      <alignment horizontal="right" vertical="center"/>
    </xf>
    <xf numFmtId="188" fontId="5" fillId="19" borderId="5" xfId="0" applyNumberFormat="1" applyFont="1" applyFill="1" applyBorder="1" applyAlignment="1">
      <alignment horizontal="center" vertical="center"/>
    </xf>
    <xf numFmtId="0" fontId="32" fillId="18" borderId="0" xfId="0" applyFont="1" applyFill="1" applyAlignment="1">
      <alignment vertical="center"/>
    </xf>
    <xf numFmtId="193" fontId="6" fillId="18" borderId="0" xfId="0" applyNumberFormat="1" applyFont="1" applyFill="1" applyAlignment="1"/>
    <xf numFmtId="0" fontId="23" fillId="2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199" fontId="33" fillId="0" borderId="0" xfId="0" applyNumberFormat="1" applyFont="1" applyFill="1" applyAlignment="1">
      <alignment vertical="center"/>
    </xf>
  </cellXfs>
  <cellStyles count="68">
    <cellStyle name="Normal" xfId="0" builtinId="0"/>
    <cellStyle name="Verificar Célula" xfId="1" builtinId="23"/>
    <cellStyle name="60% - Cor 6" xfId="2" builtinId="52"/>
    <cellStyle name="Vírgula [0]" xfId="3" builtinId="6"/>
    <cellStyle name="Vírgula" xfId="4" builtinId="3"/>
    <cellStyle name="Hiperligação" xfId="5" builtinId="8"/>
    <cellStyle name="Porcentagem 2 3" xfId="6"/>
    <cellStyle name="Moeda [0]" xfId="7" builtinId="7"/>
    <cellStyle name="Nota" xfId="8" builtinId="10"/>
    <cellStyle name="Moeda" xfId="9" builtinId="4"/>
    <cellStyle name="Hiperligação Visitada" xfId="10" builtinId="9"/>
    <cellStyle name="40% - Cor 5" xfId="11" builtinId="47"/>
    <cellStyle name="Percentagem" xfId="12" builtinId="5"/>
    <cellStyle name="Texto de Aviso" xfId="13" builtinId="11"/>
    <cellStyle name="Título" xfId="14" builtinId="15"/>
    <cellStyle name="Texto Explicativo" xfId="15" builtinId="53"/>
    <cellStyle name="Normal_Plan1" xfId="16"/>
    <cellStyle name="Separador de milhares 2 2" xfId="17"/>
    <cellStyle name="Cabeçalho 1" xfId="18" builtinId="16"/>
    <cellStyle name="Cabeçalho 2" xfId="19" builtinId="17"/>
    <cellStyle name="Cabeçalho 3" xfId="20" builtinId="18"/>
    <cellStyle name="20% - Cor 1" xfId="21" builtinId="30"/>
    <cellStyle name="Cabeçalho 4" xfId="22" builtinId="19"/>
    <cellStyle name="20% - Cor 2" xfId="23" builtinId="34"/>
    <cellStyle name="Mau" xfId="24" builtinId="27"/>
    <cellStyle name="Entrada" xfId="25" builtinId="20"/>
    <cellStyle name="Cor 2" xfId="26" builtinId="33"/>
    <cellStyle name="Saída" xfId="27" builtinId="21"/>
    <cellStyle name="Cálculo" xfId="28" builtinId="22"/>
    <cellStyle name="Célula Ligada" xfId="29" builtinId="24"/>
    <cellStyle name="Total" xfId="30" builtinId="25"/>
    <cellStyle name="Normal 12 2" xfId="31"/>
    <cellStyle name="60% - Cor 2" xfId="32" builtinId="36"/>
    <cellStyle name="Bom" xfId="33" builtinId="26"/>
    <cellStyle name="40% - Cor 3" xfId="34" builtinId="39"/>
    <cellStyle name="Neutro" xfId="35" builtinId="28"/>
    <cellStyle name="Separador de milhares 2" xfId="36"/>
    <cellStyle name="Cor 1" xfId="37" builtinId="29"/>
    <cellStyle name="40% - Cor 1" xfId="38" builtinId="31"/>
    <cellStyle name="60% - Cor 1" xfId="39" builtinId="32"/>
    <cellStyle name="Normal 4 2 5" xfId="40"/>
    <cellStyle name="40% - Cor 2" xfId="41" builtinId="35"/>
    <cellStyle name="Cor 3" xfId="42" builtinId="37"/>
    <cellStyle name="20% - Cor 3" xfId="43" builtinId="38"/>
    <cellStyle name="60% - Cor 3" xfId="44" builtinId="40"/>
    <cellStyle name="Cor 4" xfId="45" builtinId="41"/>
    <cellStyle name="20% - Cor 4" xfId="46" builtinId="42"/>
    <cellStyle name="40% - Cor 4" xfId="47" builtinId="43"/>
    <cellStyle name="60% - Cor 4" xfId="48" builtinId="44"/>
    <cellStyle name="Normal 4 4" xfId="49"/>
    <cellStyle name="Cor 5" xfId="50" builtinId="45"/>
    <cellStyle name="20% - Cor 5" xfId="51" builtinId="46"/>
    <cellStyle name="60% - Cor 5" xfId="52" builtinId="48"/>
    <cellStyle name="Cor 6" xfId="53" builtinId="49"/>
    <cellStyle name="20% - Cor 6" xfId="54" builtinId="50"/>
    <cellStyle name="40% - Cor 6" xfId="55" builtinId="51"/>
    <cellStyle name="Excel Built-in Explanatory Text" xfId="56"/>
    <cellStyle name="Moeda 2 2" xfId="57"/>
    <cellStyle name="Normal 19" xfId="58"/>
    <cellStyle name="Normal 3" xfId="59"/>
    <cellStyle name="Porcentagem 2 2" xfId="60"/>
    <cellStyle name="Normal 4" xfId="61"/>
    <cellStyle name="Normal 4 2 2" xfId="62"/>
    <cellStyle name="Normal 6" xfId="63"/>
    <cellStyle name="Separador de milhares 2 2 2" xfId="64"/>
    <cellStyle name="Separador de milhares 6" xfId="65"/>
    <cellStyle name="Vírgula 3" xfId="66"/>
    <cellStyle name="Vírgula 4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3584575</xdr:colOff>
      <xdr:row>0</xdr:row>
      <xdr:rowOff>133350</xdr:rowOff>
    </xdr:from>
    <xdr:to>
      <xdr:col>2</xdr:col>
      <xdr:colOff>5660390</xdr:colOff>
      <xdr:row>1</xdr:row>
      <xdr:rowOff>23495</xdr:rowOff>
    </xdr:to>
    <xdr:pic>
      <xdr:nvPicPr>
        <xdr:cNvPr id="3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33350"/>
          <a:ext cx="0" cy="804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1885950</xdr:colOff>
      <xdr:row>0</xdr:row>
      <xdr:rowOff>114300</xdr:rowOff>
    </xdr:from>
    <xdr:to>
      <xdr:col>2</xdr:col>
      <xdr:colOff>3810</xdr:colOff>
      <xdr:row>0</xdr:row>
      <xdr:rowOff>891540</xdr:rowOff>
    </xdr:to>
    <xdr:pic>
      <xdr:nvPicPr>
        <xdr:cNvPr id="4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14300"/>
          <a:ext cx="3810" cy="777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705485</xdr:colOff>
      <xdr:row>0</xdr:row>
      <xdr:rowOff>153035</xdr:rowOff>
    </xdr:from>
    <xdr:to>
      <xdr:col>2</xdr:col>
      <xdr:colOff>2586990</xdr:colOff>
      <xdr:row>0</xdr:row>
      <xdr:rowOff>828675</xdr:rowOff>
    </xdr:to>
    <xdr:pic>
      <xdr:nvPicPr>
        <xdr:cNvPr id="5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6160" y="153035"/>
          <a:ext cx="1881505" cy="6756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347345</xdr:colOff>
      <xdr:row>0</xdr:row>
      <xdr:rowOff>109855</xdr:rowOff>
    </xdr:from>
    <xdr:to>
      <xdr:col>8</xdr:col>
      <xdr:colOff>438150</xdr:colOff>
      <xdr:row>1</xdr:row>
      <xdr:rowOff>8890</xdr:rowOff>
    </xdr:to>
    <xdr:pic>
      <xdr:nvPicPr>
        <xdr:cNvPr id="3" name="image14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7720" y="109855"/>
          <a:ext cx="1405255" cy="775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1062355</xdr:colOff>
      <xdr:row>0</xdr:row>
      <xdr:rowOff>312420</xdr:rowOff>
    </xdr:from>
    <xdr:to>
      <xdr:col>7</xdr:col>
      <xdr:colOff>248285</xdr:colOff>
      <xdr:row>1</xdr:row>
      <xdr:rowOff>135255</xdr:rowOff>
    </xdr:to>
    <xdr:pic>
      <xdr:nvPicPr>
        <xdr:cNvPr id="2" name="image14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5055" y="312420"/>
          <a:ext cx="1405255" cy="775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3584575</xdr:colOff>
      <xdr:row>0</xdr:row>
      <xdr:rowOff>133350</xdr:rowOff>
    </xdr:from>
    <xdr:to>
      <xdr:col>2</xdr:col>
      <xdr:colOff>5660390</xdr:colOff>
      <xdr:row>1</xdr:row>
      <xdr:rowOff>23495</xdr:rowOff>
    </xdr:to>
    <xdr:pic>
      <xdr:nvPicPr>
        <xdr:cNvPr id="4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33350"/>
          <a:ext cx="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682625</xdr:colOff>
      <xdr:row>7</xdr:row>
      <xdr:rowOff>60960</xdr:rowOff>
    </xdr:from>
    <xdr:to>
      <xdr:col>1</xdr:col>
      <xdr:colOff>2999740</xdr:colOff>
      <xdr:row>21</xdr:row>
      <xdr:rowOff>43815</xdr:rowOff>
    </xdr:to>
    <xdr:pic>
      <xdr:nvPicPr>
        <xdr:cNvPr id="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625" y="3767455"/>
          <a:ext cx="3174365" cy="1956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2418715</xdr:colOff>
      <xdr:row>0</xdr:row>
      <xdr:rowOff>76200</xdr:rowOff>
    </xdr:from>
    <xdr:to>
      <xdr:col>2</xdr:col>
      <xdr:colOff>71120</xdr:colOff>
      <xdr:row>1</xdr:row>
      <xdr:rowOff>39370</xdr:rowOff>
    </xdr:to>
    <xdr:pic>
      <xdr:nvPicPr>
        <xdr:cNvPr id="3" name="image146.pn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5965" y="76200"/>
          <a:ext cx="1405255" cy="775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3584575</xdr:colOff>
      <xdr:row>0</xdr:row>
      <xdr:rowOff>133350</xdr:rowOff>
    </xdr:from>
    <xdr:to>
      <xdr:col>2</xdr:col>
      <xdr:colOff>5660390</xdr:colOff>
      <xdr:row>1</xdr:row>
      <xdr:rowOff>23495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33350"/>
          <a:ext cx="0" cy="575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2483485</xdr:colOff>
      <xdr:row>0</xdr:row>
      <xdr:rowOff>43180</xdr:rowOff>
    </xdr:from>
    <xdr:to>
      <xdr:col>2</xdr:col>
      <xdr:colOff>135890</xdr:colOff>
      <xdr:row>1</xdr:row>
      <xdr:rowOff>132715</xdr:rowOff>
    </xdr:to>
    <xdr:pic>
      <xdr:nvPicPr>
        <xdr:cNvPr id="4" name="image14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0735" y="43180"/>
          <a:ext cx="1405255" cy="775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3584575</xdr:colOff>
      <xdr:row>0</xdr:row>
      <xdr:rowOff>133350</xdr:rowOff>
    </xdr:from>
    <xdr:to>
      <xdr:col>2</xdr:col>
      <xdr:colOff>5660390</xdr:colOff>
      <xdr:row>1</xdr:row>
      <xdr:rowOff>23495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33350"/>
          <a:ext cx="0" cy="804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76200</xdr:colOff>
      <xdr:row>7</xdr:row>
      <xdr:rowOff>48260</xdr:rowOff>
    </xdr:from>
    <xdr:to>
      <xdr:col>1</xdr:col>
      <xdr:colOff>3288030</xdr:colOff>
      <xdr:row>21</xdr:row>
      <xdr:rowOff>101600</xdr:rowOff>
    </xdr:to>
    <xdr:pic>
      <xdr:nvPicPr>
        <xdr:cNvPr id="4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4026535"/>
          <a:ext cx="3211830" cy="2186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2476500</xdr:colOff>
      <xdr:row>0</xdr:row>
      <xdr:rowOff>97790</xdr:rowOff>
    </xdr:from>
    <xdr:to>
      <xdr:col>2</xdr:col>
      <xdr:colOff>43180</xdr:colOff>
      <xdr:row>0</xdr:row>
      <xdr:rowOff>873125</xdr:rowOff>
    </xdr:to>
    <xdr:pic>
      <xdr:nvPicPr>
        <xdr:cNvPr id="5" name="image146.pn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97790"/>
          <a:ext cx="1405255" cy="775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3584575</xdr:colOff>
      <xdr:row>0</xdr:row>
      <xdr:rowOff>133350</xdr:rowOff>
    </xdr:from>
    <xdr:to>
      <xdr:col>2</xdr:col>
      <xdr:colOff>5660390</xdr:colOff>
      <xdr:row>1</xdr:row>
      <xdr:rowOff>23495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33350"/>
          <a:ext cx="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2534285</xdr:colOff>
      <xdr:row>0</xdr:row>
      <xdr:rowOff>59690</xdr:rowOff>
    </xdr:from>
    <xdr:to>
      <xdr:col>2</xdr:col>
      <xdr:colOff>186690</xdr:colOff>
      <xdr:row>1</xdr:row>
      <xdr:rowOff>22860</xdr:rowOff>
    </xdr:to>
    <xdr:pic>
      <xdr:nvPicPr>
        <xdr:cNvPr id="4" name="image14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1535" y="59690"/>
          <a:ext cx="1405255" cy="775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2209800</xdr:colOff>
      <xdr:row>16</xdr:row>
      <xdr:rowOff>104775</xdr:rowOff>
    </xdr:from>
    <xdr:ext cx="4362451" cy="538640"/>
    <xdr:sp>
      <xdr:nvSpPr>
        <xdr:cNvPr id="2" name="CaixaDeTexto 3"/>
        <xdr:cNvSpPr txBox="1"/>
      </xdr:nvSpPr>
      <xdr:spPr>
        <a:xfrm>
          <a:off x="2209800" y="9159875"/>
          <a:ext cx="4362450" cy="538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pt-BR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200" b="0" i="0" u="none" strike="noStrike" baseline="0">
              <a:solidFill>
                <a:srgbClr val="333333"/>
              </a:solidFill>
              <a:latin typeface="Times New Roman" panose="02020603050405020304" pitchFamily="12"/>
              <a:cs typeface="Times New Roman" panose="02020603050405020304" pitchFamily="12"/>
            </a:rPr>
            <a:t>BDI=</a:t>
          </a:r>
          <a:r>
            <a:rPr lang="pt-BR" sz="1400" b="0" i="0" u="none" strike="noStrike" baseline="0">
              <a:solidFill>
                <a:srgbClr val="333333"/>
              </a:solidFill>
              <a:latin typeface="Cambria Math" panose="02040503050406030204"/>
              <a:ea typeface="Cambria Math" panose="02040503050406030204"/>
            </a:rPr>
            <a:t>{</a:t>
          </a:r>
          <a:r>
            <a:rPr lang="pt-BR" sz="1400" b="0" i="0" u="none" strike="noStrike" baseline="0">
              <a:solidFill>
                <a:srgbClr val="333333"/>
              </a:solidFill>
              <a:latin typeface="Calibri" panose="020F0502020204030204"/>
            </a:rPr>
            <a:t>[((1+(AC+R+S+G))(1+DF)(1+L))/(1-I)]"-1</a:t>
          </a:r>
          <a:r>
            <a:rPr lang="pt-BR" sz="1400" b="0" i="0" u="none" strike="noStrike" baseline="0">
              <a:solidFill>
                <a:srgbClr val="333333"/>
              </a:solidFill>
              <a:latin typeface="Cambria Math" panose="02040503050406030204"/>
              <a:ea typeface="Cambria Math" panose="02040503050406030204"/>
            </a:rPr>
            <a:t>" }∗</a:t>
          </a:r>
          <a:r>
            <a:rPr lang="pt-BR" sz="1400" b="0" i="0" u="none" strike="noStrike" baseline="0">
              <a:solidFill>
                <a:srgbClr val="333333"/>
              </a:solidFill>
              <a:latin typeface="Times New Roman" panose="02020603050405020304" pitchFamily="12"/>
              <a:cs typeface="Times New Roman" panose="02020603050405020304" pitchFamily="12"/>
            </a:rPr>
            <a:t>100</a:t>
          </a:r>
          <a:endParaRPr lang="pt-BR" altLang="en-US" sz="1400" b="0" i="0" u="none" strike="noStrike" baseline="0">
            <a:solidFill>
              <a:srgbClr val="333333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twoCellAnchor>
    <xdr:from>
      <xdr:col>1</xdr:col>
      <xdr:colOff>934085</xdr:colOff>
      <xdr:row>0</xdr:row>
      <xdr:rowOff>104775</xdr:rowOff>
    </xdr:from>
    <xdr:to>
      <xdr:col>2</xdr:col>
      <xdr:colOff>1253490</xdr:colOff>
      <xdr:row>0</xdr:row>
      <xdr:rowOff>880110</xdr:rowOff>
    </xdr:to>
    <xdr:pic>
      <xdr:nvPicPr>
        <xdr:cNvPr id="3" name="image14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3010" y="104775"/>
          <a:ext cx="1405255" cy="775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140970</xdr:colOff>
      <xdr:row>0</xdr:row>
      <xdr:rowOff>179705</xdr:rowOff>
    </xdr:from>
    <xdr:to>
      <xdr:col>4</xdr:col>
      <xdr:colOff>631825</xdr:colOff>
      <xdr:row>0</xdr:row>
      <xdr:rowOff>955040</xdr:rowOff>
    </xdr:to>
    <xdr:pic>
      <xdr:nvPicPr>
        <xdr:cNvPr id="3" name="image14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4170" y="179705"/>
          <a:ext cx="1405255" cy="775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ExternoRecuperado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"/>
      <sheetName val="MEMÓRIA DE CALCULO"/>
      <sheetName val="ABC NOVA"/>
      <sheetName val="CRON. FIS. FIN."/>
      <sheetName val="CRON. FIS."/>
      <sheetName val="CANAIS - RESUMO"/>
      <sheetName val="RUAS Ñ PAVIMENTADAS"/>
      <sheetName val="RUAS Ñ PAVIMENTADAS - RESUMO"/>
      <sheetName val="RUAS PAVIMENTADAS"/>
      <sheetName val="ESTRADAS VICINAIS"/>
      <sheetName val="Estradas Vicinais Planilha"/>
      <sheetName val="ESTRADAS VICINAIS - RESUMO"/>
      <sheetName val="DMT P TRANS PRANCHAS e HIDRO"/>
      <sheetName val="EMULSÃO ASFALTICA"/>
      <sheetName val="CANAIS CAMELA"/>
      <sheetName val="CANAIS IPOJUCA"/>
      <sheetName val="CANAIS NSO"/>
      <sheetName val="Simulador JUROS INCC.POUPANÇA"/>
      <sheetName val="JUROS POUPANÇA"/>
      <sheetName val="COMP.001 ADM OBRAS"/>
      <sheetName val="COMP.002 HIDRO NOVO"/>
      <sheetName val=" COMP.003 CAMINHONETE 4x4"/>
      <sheetName val="COMP.004 VEICULO PASSEIO"/>
      <sheetName val="SINAPI Hidrojato"/>
      <sheetName val="Vida útil deprec EQUIP E VEIC"/>
      <sheetName val="COMP.002 CAM PIPA Ñ USAR"/>
      <sheetName val="COMP.003 HIDRO - Ñ USAR"/>
      <sheetName val="COMP.003 HIDROJ. USADO - Ñ USAR"/>
      <sheetName val="NÃO USAR - ABC"/>
      <sheetName val="CURVA ABC Ñ USAR"/>
    </sheetNames>
    <sheetDataSet>
      <sheetData sheetId="0" refreshError="1"/>
      <sheetData sheetId="1" refreshError="1">
        <row r="202">
          <cell r="D202" t="str">
            <v>MÊS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view="pageBreakPreview" zoomScaleNormal="100" topLeftCell="A4" workbookViewId="0">
      <selection activeCell="F12" sqref="F12"/>
    </sheetView>
  </sheetViews>
  <sheetFormatPr defaultColWidth="9.14285714285714" defaultRowHeight="15"/>
  <cols>
    <col min="1" max="1" width="8.14285714285714" style="296" customWidth="1"/>
    <col min="2" max="2" width="15.7142857142857" style="297" customWidth="1"/>
    <col min="3" max="3" width="53.7142857142857" style="298" customWidth="1"/>
    <col min="4" max="4" width="24.8571428571429" style="299" customWidth="1"/>
    <col min="5" max="5" width="13.2857142857143" style="299" customWidth="1"/>
    <col min="6" max="6" width="12.5714285714286" style="300" customWidth="1"/>
    <col min="7" max="16384" width="9.14285714285714" style="300"/>
  </cols>
  <sheetData>
    <row r="1" s="50" customFormat="1" ht="72" customHeight="1" spans="1:11">
      <c r="A1" s="53"/>
      <c r="B1" s="54"/>
      <c r="C1" s="54"/>
      <c r="D1" s="55"/>
      <c r="E1" s="52"/>
      <c r="F1" s="52"/>
      <c r="G1" s="52"/>
      <c r="H1" s="52"/>
      <c r="I1" s="52"/>
      <c r="J1" s="52"/>
      <c r="K1" s="52"/>
    </row>
    <row r="2" s="50" customFormat="1" ht="20.25" spans="1:11">
      <c r="A2" s="56" t="s">
        <v>0</v>
      </c>
      <c r="B2" s="57"/>
      <c r="C2" s="57"/>
      <c r="D2" s="58"/>
      <c r="E2" s="52"/>
      <c r="F2" s="52"/>
      <c r="G2" s="52"/>
      <c r="H2" s="52"/>
      <c r="I2" s="52"/>
      <c r="J2" s="52"/>
      <c r="K2" s="52"/>
    </row>
    <row r="3" s="50" customFormat="1" ht="20.25" spans="1:11">
      <c r="A3" s="301"/>
      <c r="B3" s="302"/>
      <c r="C3" s="302"/>
      <c r="D3" s="303"/>
      <c r="E3" s="52"/>
      <c r="F3" s="52"/>
      <c r="G3" s="52"/>
      <c r="H3" s="52"/>
      <c r="I3" s="52"/>
      <c r="J3" s="52"/>
      <c r="K3" s="52"/>
    </row>
    <row r="4" s="50" customFormat="1" ht="30" customHeight="1" spans="1:11">
      <c r="A4" s="304" t="s">
        <v>1</v>
      </c>
      <c r="B4" s="304"/>
      <c r="C4" s="304"/>
      <c r="D4" s="304"/>
      <c r="E4" s="52"/>
      <c r="F4" s="52"/>
      <c r="G4" s="52"/>
      <c r="H4" s="52"/>
      <c r="I4" s="52"/>
      <c r="J4" s="52"/>
      <c r="K4" s="52"/>
    </row>
    <row r="5" s="50" customFormat="1" ht="96.95" customHeight="1" spans="1:11">
      <c r="A5" s="305" t="s">
        <v>2</v>
      </c>
      <c r="B5" s="269"/>
      <c r="C5" s="269"/>
      <c r="D5" s="269"/>
      <c r="E5" s="52"/>
      <c r="F5" s="52"/>
      <c r="G5" s="52"/>
      <c r="H5" s="52"/>
      <c r="I5" s="52"/>
      <c r="J5" s="52"/>
      <c r="K5" s="52"/>
    </row>
    <row r="6" s="50" customFormat="1" ht="26.25" customHeight="1" spans="1:11">
      <c r="A6" s="306" t="s">
        <v>3</v>
      </c>
      <c r="B6" s="307"/>
      <c r="C6" s="307"/>
      <c r="D6" s="307"/>
      <c r="E6" s="52"/>
      <c r="F6" s="52"/>
      <c r="G6" s="52"/>
      <c r="H6" s="52"/>
      <c r="I6" s="52"/>
      <c r="J6" s="52"/>
      <c r="K6" s="52"/>
    </row>
    <row r="7" s="50" customFormat="1" ht="39" customHeight="1" spans="1:11">
      <c r="A7" s="308" t="s">
        <v>4</v>
      </c>
      <c r="B7" s="309"/>
      <c r="C7" s="309"/>
      <c r="D7" s="309"/>
      <c r="E7" s="52"/>
      <c r="F7" s="52"/>
      <c r="G7" s="52"/>
      <c r="H7" s="52"/>
      <c r="I7" s="52"/>
      <c r="J7" s="52"/>
      <c r="K7" s="52"/>
    </row>
    <row r="8" s="293" customFormat="1" ht="26.1" customHeight="1" spans="1:4">
      <c r="A8" s="310" t="s">
        <v>5</v>
      </c>
      <c r="B8" s="310" t="s">
        <v>6</v>
      </c>
      <c r="C8" s="310"/>
      <c r="D8" s="310" t="s">
        <v>7</v>
      </c>
    </row>
    <row r="9" s="293" customFormat="1" ht="26.1" customHeight="1" spans="1:4">
      <c r="A9" s="310"/>
      <c r="B9" s="310"/>
      <c r="C9" s="310"/>
      <c r="D9" s="310"/>
    </row>
    <row r="10" s="293" customFormat="1" ht="42" customHeight="1" spans="1:4">
      <c r="A10" s="310" t="s">
        <v>8</v>
      </c>
      <c r="B10" s="311" t="str">
        <f>'ORÇAMENTO BÁSICO'!D10</f>
        <v>LOCAÇÃO DE AMBULANCIA COM CONDUTOR (12 X 36 H. DIURNO/NOTURNO)</v>
      </c>
      <c r="C10" s="311"/>
      <c r="D10" s="310"/>
    </row>
    <row r="11" s="294" customFormat="1" ht="81" customHeight="1" spans="1:5">
      <c r="A11" s="312" t="s">
        <v>9</v>
      </c>
      <c r="B11" s="313" t="str">
        <f>'ORÇAMENTO BÁSICO'!D11</f>
        <v>COMPOSIÇÃO DE CUSTO UNITÁRIO PARA LOCAÇÃO  - COMPOSIÇÃO 01 - TIPO B</v>
      </c>
      <c r="C11" s="314"/>
      <c r="D11" s="315">
        <f>'ORÇAMENTO BÁSICO'!L11</f>
        <v>290077.32</v>
      </c>
      <c r="E11" s="316"/>
    </row>
    <row r="12" s="294" customFormat="1" ht="66" customHeight="1" spans="1:5">
      <c r="A12" s="312" t="s">
        <v>10</v>
      </c>
      <c r="B12" s="313" t="str">
        <f>'ORÇAMENTO BÁSICO'!D12</f>
        <v>COMPOSIÇÃO DE CUSTO UNITÁRIO PARA LOCAÇÃO  - COMPOSIÇÃO 02 - TIPO D</v>
      </c>
      <c r="C12" s="314"/>
      <c r="D12" s="315">
        <f>'ORÇAMENTO BÁSICO'!L12</f>
        <v>635156.16</v>
      </c>
      <c r="E12" s="316"/>
    </row>
    <row r="13" s="295" customFormat="1" ht="29.1" customHeight="1" spans="1:6">
      <c r="A13" s="317" t="s">
        <v>11</v>
      </c>
      <c r="B13" s="317"/>
      <c r="C13" s="317"/>
      <c r="D13" s="318">
        <f>D11+D12</f>
        <v>925233.48</v>
      </c>
      <c r="E13" s="319"/>
      <c r="F13" s="320"/>
    </row>
    <row r="14" ht="42" customHeight="1" spans="1:4">
      <c r="A14" s="321" t="s">
        <v>12</v>
      </c>
      <c r="B14" s="321"/>
      <c r="C14" s="321"/>
      <c r="D14" s="321"/>
    </row>
    <row r="15" ht="104.1" customHeight="1" spans="1:4">
      <c r="A15" s="322" t="s">
        <v>13</v>
      </c>
      <c r="B15" s="322"/>
      <c r="C15" s="322"/>
      <c r="D15" s="322"/>
    </row>
    <row r="16" ht="84" customHeight="1" spans="4:4">
      <c r="D16" s="323"/>
    </row>
  </sheetData>
  <mergeCells count="16">
    <mergeCell ref="A1:D1"/>
    <mergeCell ref="A2:D2"/>
    <mergeCell ref="A3:D3"/>
    <mergeCell ref="A4:D4"/>
    <mergeCell ref="A5:D5"/>
    <mergeCell ref="A6:D6"/>
    <mergeCell ref="A7:D7"/>
    <mergeCell ref="B10:C10"/>
    <mergeCell ref="B11:C11"/>
    <mergeCell ref="B12:C12"/>
    <mergeCell ref="A13:C13"/>
    <mergeCell ref="A14:D14"/>
    <mergeCell ref="A15:D15"/>
    <mergeCell ref="A8:A9"/>
    <mergeCell ref="D8:D10"/>
    <mergeCell ref="B8:C9"/>
  </mergeCells>
  <printOptions horizontalCentered="1"/>
  <pageMargins left="0.751388888888889" right="0.751388888888889" top="1" bottom="1" header="0.5" footer="0.5"/>
  <pageSetup paperSize="9" scale="83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view="pageBreakPreview" zoomScale="70" zoomScaleNormal="34" workbookViewId="0">
      <selection activeCell="A1" sqref="A1:P1"/>
    </sheetView>
  </sheetViews>
  <sheetFormatPr defaultColWidth="9.14285714285714" defaultRowHeight="15.75"/>
  <cols>
    <col min="1" max="1" width="9.14285714285714" style="262" customWidth="1"/>
    <col min="2" max="2" width="45.4285714285714" style="262" customWidth="1"/>
    <col min="3" max="3" width="22.5714285714286" style="262" customWidth="1"/>
    <col min="4" max="4" width="23" style="262" customWidth="1"/>
    <col min="5" max="10" width="19.7142857142857" style="262" customWidth="1"/>
    <col min="11" max="16" width="21.1428571428571" style="262" customWidth="1"/>
    <col min="17" max="17" width="14.7142857142857" style="262" customWidth="1"/>
    <col min="18" max="18" width="16.7142857142857" style="262" customWidth="1"/>
    <col min="19" max="19" width="10.8571428571429" style="262" customWidth="1"/>
    <col min="20" max="20" width="9.14285714285714" style="262"/>
    <col min="21" max="21" width="11.7142857142857" style="262" customWidth="1"/>
    <col min="22" max="16384" width="9.14285714285714" style="262"/>
  </cols>
  <sheetData>
    <row r="1" s="260" customFormat="1" ht="69" customHeight="1" spans="1:16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83"/>
    </row>
    <row r="2" s="261" customFormat="1" ht="30" customHeight="1" spans="1:17">
      <c r="A2" s="265" t="s">
        <v>14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84"/>
      <c r="Q2" s="260"/>
    </row>
    <row r="3" s="50" customFormat="1" ht="66.95" customHeight="1" spans="1:16">
      <c r="A3" s="267" t="s">
        <v>15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</row>
    <row r="4" s="261" customFormat="1" ht="32.1" customHeight="1" spans="1:17">
      <c r="A4" s="268" t="s">
        <v>16</v>
      </c>
      <c r="B4" s="268"/>
      <c r="C4" s="269"/>
      <c r="D4" s="269" t="s">
        <v>17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86"/>
    </row>
    <row r="5" s="261" customFormat="1" ht="44.1" customHeight="1" spans="1:20">
      <c r="A5" s="270" t="s">
        <v>18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87"/>
      <c r="R5" s="287"/>
      <c r="S5" s="287"/>
      <c r="T5" s="287"/>
    </row>
    <row r="6" ht="39" customHeight="1" spans="1:17">
      <c r="A6" s="271" t="s">
        <v>5</v>
      </c>
      <c r="B6" s="271" t="s">
        <v>19</v>
      </c>
      <c r="C6" s="271" t="s">
        <v>20</v>
      </c>
      <c r="D6" s="271" t="s">
        <v>21</v>
      </c>
      <c r="E6" s="271" t="s">
        <v>22</v>
      </c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88"/>
    </row>
    <row r="7" ht="39" customHeight="1" spans="1:17">
      <c r="A7" s="271"/>
      <c r="B7" s="271"/>
      <c r="C7" s="271"/>
      <c r="D7" s="271"/>
      <c r="E7" s="271" t="s">
        <v>23</v>
      </c>
      <c r="F7" s="271" t="s">
        <v>24</v>
      </c>
      <c r="G7" s="271" t="s">
        <v>25</v>
      </c>
      <c r="H7" s="271" t="s">
        <v>26</v>
      </c>
      <c r="I7" s="271" t="s">
        <v>27</v>
      </c>
      <c r="J7" s="271" t="s">
        <v>28</v>
      </c>
      <c r="K7" s="271" t="s">
        <v>29</v>
      </c>
      <c r="L7" s="271" t="s">
        <v>30</v>
      </c>
      <c r="M7" s="271" t="s">
        <v>31</v>
      </c>
      <c r="N7" s="271" t="s">
        <v>32</v>
      </c>
      <c r="O7" s="271" t="s">
        <v>33</v>
      </c>
      <c r="P7" s="271" t="s">
        <v>34</v>
      </c>
      <c r="Q7" s="288"/>
    </row>
    <row r="8" ht="123.95" customHeight="1" spans="1:19">
      <c r="A8" s="272">
        <v>1</v>
      </c>
      <c r="B8" s="273" t="str">
        <f>'ORÇAMENTO BÁSICO'!D11</f>
        <v>COMPOSIÇÃO DE CUSTO UNITÁRIO PARA LOCAÇÃO  - COMPOSIÇÃO 01 - TIPO B</v>
      </c>
      <c r="C8" s="274" t="s">
        <v>35</v>
      </c>
      <c r="D8" s="275">
        <f>'ORÇAMENTO BÁSICO'!L11</f>
        <v>290077.32</v>
      </c>
      <c r="E8" s="276">
        <f>D8/12</f>
        <v>24173.11</v>
      </c>
      <c r="F8" s="276">
        <f>D8/12</f>
        <v>24173.11</v>
      </c>
      <c r="G8" s="276">
        <f>D8/12</f>
        <v>24173.11</v>
      </c>
      <c r="H8" s="276">
        <f>D8/12</f>
        <v>24173.11</v>
      </c>
      <c r="I8" s="276">
        <f>D8/12</f>
        <v>24173.11</v>
      </c>
      <c r="J8" s="276">
        <f>D8/12</f>
        <v>24173.11</v>
      </c>
      <c r="K8" s="276">
        <f>D8/12</f>
        <v>24173.11</v>
      </c>
      <c r="L8" s="276">
        <f>D8/12</f>
        <v>24173.11</v>
      </c>
      <c r="M8" s="276">
        <f>D8/12</f>
        <v>24173.11</v>
      </c>
      <c r="N8" s="276">
        <f>D8/12</f>
        <v>24173.11</v>
      </c>
      <c r="O8" s="285">
        <f>D8/12</f>
        <v>24173.11</v>
      </c>
      <c r="P8" s="285">
        <f>D8/12</f>
        <v>24173.11</v>
      </c>
      <c r="Q8" s="289"/>
      <c r="R8" s="290"/>
      <c r="S8" s="290"/>
    </row>
    <row r="9" ht="114.95" customHeight="1" spans="1:19">
      <c r="A9" s="272">
        <v>2</v>
      </c>
      <c r="B9" s="273" t="str">
        <f>'ORÇAMENTO BÁSICO'!D12</f>
        <v>COMPOSIÇÃO DE CUSTO UNITÁRIO PARA LOCAÇÃO  - COMPOSIÇÃO 02 - TIPO D</v>
      </c>
      <c r="C9" s="274" t="s">
        <v>36</v>
      </c>
      <c r="D9" s="275">
        <f>'ORÇAMENTO BÁSICO'!L12</f>
        <v>635156.16</v>
      </c>
      <c r="E9" s="276">
        <f>D9/12</f>
        <v>52929.68</v>
      </c>
      <c r="F9" s="276">
        <f>D9/12</f>
        <v>52929.68</v>
      </c>
      <c r="G9" s="276">
        <f>D9/12</f>
        <v>52929.68</v>
      </c>
      <c r="H9" s="276">
        <f>D9/12</f>
        <v>52929.68</v>
      </c>
      <c r="I9" s="276">
        <f>D9/12</f>
        <v>52929.68</v>
      </c>
      <c r="J9" s="276">
        <f>D9/12</f>
        <v>52929.68</v>
      </c>
      <c r="K9" s="276">
        <f>D9/12</f>
        <v>52929.68</v>
      </c>
      <c r="L9" s="276">
        <f>D9/12</f>
        <v>52929.68</v>
      </c>
      <c r="M9" s="276">
        <f>D9/12</f>
        <v>52929.68</v>
      </c>
      <c r="N9" s="276">
        <f>D9/12</f>
        <v>52929.68</v>
      </c>
      <c r="O9" s="285">
        <f>D9/12</f>
        <v>52929.68</v>
      </c>
      <c r="P9" s="285">
        <f>D9/12</f>
        <v>52929.68</v>
      </c>
      <c r="Q9" s="289"/>
      <c r="R9" s="290"/>
      <c r="S9" s="290"/>
    </row>
    <row r="10" ht="36.95" customHeight="1" spans="1:19">
      <c r="A10" s="277" t="s">
        <v>37</v>
      </c>
      <c r="B10" s="277"/>
      <c r="C10" s="277"/>
      <c r="D10" s="277"/>
      <c r="E10" s="278">
        <f t="shared" ref="E10:P10" si="0">E11/$C$12</f>
        <v>0.0833333333333333</v>
      </c>
      <c r="F10" s="278">
        <f t="shared" si="0"/>
        <v>0.0833333333333333</v>
      </c>
      <c r="G10" s="278">
        <f t="shared" si="0"/>
        <v>0.0833333333333333</v>
      </c>
      <c r="H10" s="278">
        <f t="shared" si="0"/>
        <v>0.0833333333333333</v>
      </c>
      <c r="I10" s="278">
        <f t="shared" si="0"/>
        <v>0.0833333333333333</v>
      </c>
      <c r="J10" s="278">
        <f t="shared" si="0"/>
        <v>0.0833333333333333</v>
      </c>
      <c r="K10" s="278">
        <f t="shared" si="0"/>
        <v>0.0833333333333333</v>
      </c>
      <c r="L10" s="278">
        <f t="shared" si="0"/>
        <v>0.0833333333333333</v>
      </c>
      <c r="M10" s="278">
        <f t="shared" si="0"/>
        <v>0.0833333333333333</v>
      </c>
      <c r="N10" s="278">
        <f t="shared" si="0"/>
        <v>0.0833333333333333</v>
      </c>
      <c r="O10" s="278">
        <f t="shared" si="0"/>
        <v>0.0833333333333333</v>
      </c>
      <c r="P10" s="278">
        <f t="shared" si="0"/>
        <v>0.0833333333333333</v>
      </c>
      <c r="Q10" s="291"/>
      <c r="R10" s="290"/>
      <c r="S10" s="290"/>
    </row>
    <row r="11" ht="36.95" customHeight="1" spans="1:19">
      <c r="A11" s="277" t="s">
        <v>38</v>
      </c>
      <c r="B11" s="277"/>
      <c r="C11" s="277"/>
      <c r="D11" s="277"/>
      <c r="E11" s="279">
        <f t="shared" ref="E11:P11" si="1">SUM(E8:E9)</f>
        <v>77102.79</v>
      </c>
      <c r="F11" s="279">
        <f t="shared" si="1"/>
        <v>77102.79</v>
      </c>
      <c r="G11" s="279">
        <f t="shared" si="1"/>
        <v>77102.79</v>
      </c>
      <c r="H11" s="279">
        <f t="shared" si="1"/>
        <v>77102.79</v>
      </c>
      <c r="I11" s="279">
        <f t="shared" si="1"/>
        <v>77102.79</v>
      </c>
      <c r="J11" s="279">
        <f t="shared" si="1"/>
        <v>77102.79</v>
      </c>
      <c r="K11" s="279">
        <f t="shared" si="1"/>
        <v>77102.79</v>
      </c>
      <c r="L11" s="279">
        <f t="shared" si="1"/>
        <v>77102.79</v>
      </c>
      <c r="M11" s="279">
        <f t="shared" si="1"/>
        <v>77102.79</v>
      </c>
      <c r="N11" s="279">
        <f t="shared" si="1"/>
        <v>77102.79</v>
      </c>
      <c r="O11" s="279">
        <f t="shared" si="1"/>
        <v>77102.79</v>
      </c>
      <c r="P11" s="279">
        <f t="shared" si="1"/>
        <v>77102.79</v>
      </c>
      <c r="Q11" s="292"/>
      <c r="S11" s="290"/>
    </row>
    <row r="12" ht="36.95" customHeight="1" spans="1:19">
      <c r="A12" s="280" t="s">
        <v>39</v>
      </c>
      <c r="B12" s="280"/>
      <c r="C12" s="281">
        <f>SUM(D8:D9)</f>
        <v>925233.48</v>
      </c>
      <c r="D12" s="281"/>
      <c r="E12" s="279">
        <f>E11</f>
        <v>77102.79</v>
      </c>
      <c r="F12" s="279">
        <f t="shared" ref="F12:P12" si="2">E12+F11</f>
        <v>154205.58</v>
      </c>
      <c r="G12" s="279">
        <f t="shared" si="2"/>
        <v>231308.37</v>
      </c>
      <c r="H12" s="279">
        <f t="shared" si="2"/>
        <v>308411.16</v>
      </c>
      <c r="I12" s="279">
        <f t="shared" si="2"/>
        <v>385513.95</v>
      </c>
      <c r="J12" s="279">
        <f t="shared" si="2"/>
        <v>462616.74</v>
      </c>
      <c r="K12" s="279">
        <f t="shared" si="2"/>
        <v>539719.53</v>
      </c>
      <c r="L12" s="279">
        <f t="shared" si="2"/>
        <v>616822.32</v>
      </c>
      <c r="M12" s="279">
        <f t="shared" si="2"/>
        <v>693925.11</v>
      </c>
      <c r="N12" s="279">
        <f t="shared" si="2"/>
        <v>771027.9</v>
      </c>
      <c r="O12" s="279">
        <f t="shared" si="2"/>
        <v>848130.69</v>
      </c>
      <c r="P12" s="279">
        <f t="shared" si="2"/>
        <v>925233.48</v>
      </c>
      <c r="Q12" s="292"/>
      <c r="S12" s="290"/>
    </row>
    <row r="13" ht="51.95" customHeight="1" spans="1:18">
      <c r="A13" s="280" t="s">
        <v>40</v>
      </c>
      <c r="B13" s="280"/>
      <c r="C13" s="281"/>
      <c r="D13" s="281"/>
      <c r="E13" s="282" t="str">
        <f>RESUMO!A14</f>
        <v>(NOVECENTOS E VINTE E CINCO MIL, DUZENTOS E TRINTA E TRÊS REAIS, E QUARENTA E OITO CENTAVOS)</v>
      </c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92"/>
      <c r="R13" s="290"/>
    </row>
    <row r="21" spans="5:5">
      <c r="E21" s="262">
        <v>38070.28</v>
      </c>
    </row>
  </sheetData>
  <mergeCells count="17">
    <mergeCell ref="A1:P1"/>
    <mergeCell ref="A2:P2"/>
    <mergeCell ref="A3:P3"/>
    <mergeCell ref="A4:B4"/>
    <mergeCell ref="D4:P4"/>
    <mergeCell ref="A5:P5"/>
    <mergeCell ref="E6:P6"/>
    <mergeCell ref="A10:D10"/>
    <mergeCell ref="A11:D11"/>
    <mergeCell ref="A12:B12"/>
    <mergeCell ref="A13:B13"/>
    <mergeCell ref="E13:P13"/>
    <mergeCell ref="A6:A7"/>
    <mergeCell ref="B6:B7"/>
    <mergeCell ref="C6:C7"/>
    <mergeCell ref="D6:D7"/>
    <mergeCell ref="C12:D13"/>
  </mergeCells>
  <printOptions horizontalCentered="1"/>
  <pageMargins left="0.751388888888889" right="0.751388888888889" top="1" bottom="1" header="0.5" footer="0.5"/>
  <pageSetup paperSize="9" scale="41" orientation="landscape"/>
  <headerFooter/>
  <colBreaks count="1" manualBreakCount="1">
    <brk id="54" max="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O20"/>
  <sheetViews>
    <sheetView view="pageBreakPreview" zoomScale="59" zoomScaleNormal="100" workbookViewId="0">
      <selection activeCell="B2" sqref="B2:M2"/>
    </sheetView>
  </sheetViews>
  <sheetFormatPr defaultColWidth="9.14285714285714" defaultRowHeight="12.75"/>
  <cols>
    <col min="1" max="1" width="1.28571428571429" customWidth="1"/>
    <col min="2" max="2" width="8.71428571428571" style="202" customWidth="1"/>
    <col min="3" max="3" width="16.4285714285714" style="202" customWidth="1"/>
    <col min="4" max="4" width="56.8571428571429" style="203" customWidth="1"/>
    <col min="5" max="5" width="12.1428571428571" style="207" customWidth="1"/>
    <col min="6" max="6" width="17" style="207" customWidth="1"/>
    <col min="7" max="7" width="16.2857142857143" style="208" customWidth="1"/>
    <col min="8" max="8" width="12.4285714285714" style="209" customWidth="1"/>
    <col min="9" max="9" width="16" style="208" customWidth="1"/>
    <col min="10" max="10" width="20.5714285714286" style="210" customWidth="1"/>
    <col min="11" max="12" width="21.8571428571429" style="210" customWidth="1"/>
    <col min="13" max="13" width="18.1428571428571" style="202" customWidth="1"/>
    <col min="14" max="14" width="9.14285714285714" style="211"/>
    <col min="15" max="15" width="30" style="211" customWidth="1"/>
    <col min="16" max="16295" width="9.14285714285714" style="211"/>
  </cols>
  <sheetData>
    <row r="1" s="199" customFormat="1" ht="75" customHeight="1" spans="2:13">
      <c r="B1" s="212"/>
      <c r="C1" s="213"/>
      <c r="D1" s="213"/>
      <c r="E1" s="213"/>
      <c r="F1" s="213"/>
      <c r="G1" s="214"/>
      <c r="H1" s="215"/>
      <c r="I1" s="215"/>
      <c r="J1" s="215"/>
      <c r="K1" s="215"/>
      <c r="L1" s="213"/>
      <c r="M1" s="240"/>
    </row>
    <row r="2" s="200" customFormat="1" ht="72" customHeight="1" spans="2:13">
      <c r="B2" s="56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58"/>
    </row>
    <row r="3" s="200" customFormat="1" ht="84.95" customHeight="1" spans="2:13">
      <c r="B3" s="216" t="s">
        <v>41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="200" customFormat="1" ht="32.25" customHeight="1" spans="2:13">
      <c r="B4" s="218" t="s">
        <v>42</v>
      </c>
      <c r="C4" s="218"/>
      <c r="D4" s="219" t="str">
        <f>RESUMO!A6</f>
        <v>LOCAL: MUNICÍPIO DE CAMARAGIBE/PE </v>
      </c>
      <c r="E4" s="219"/>
      <c r="F4" s="219"/>
      <c r="G4" s="219"/>
      <c r="H4" s="219"/>
      <c r="I4" s="219"/>
      <c r="J4" s="219"/>
      <c r="K4" s="219"/>
      <c r="L4" s="219"/>
      <c r="M4" s="219"/>
    </row>
    <row r="5" s="201" customFormat="1" ht="38.1" customHeight="1" spans="2:13">
      <c r="B5" s="218" t="s">
        <v>43</v>
      </c>
      <c r="C5" s="218"/>
      <c r="D5" s="219" t="str">
        <f>RESUMO!A7</f>
        <v>FONTE DE PREÇO: COMPOSIÇÕES DE CUSTO DE MERCADO, TABELA FIPE + (BDI 23,02%).</v>
      </c>
      <c r="E5" s="219"/>
      <c r="F5" s="219"/>
      <c r="G5" s="219"/>
      <c r="H5" s="219"/>
      <c r="I5" s="219"/>
      <c r="J5" s="219"/>
      <c r="K5" s="219"/>
      <c r="L5" s="219"/>
      <c r="M5" s="219"/>
    </row>
    <row r="6" s="202" customFormat="1" ht="28.9" customHeight="1" spans="2:13">
      <c r="B6" s="220" t="s">
        <v>44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</row>
    <row r="7" s="202" customFormat="1" ht="22.9" customHeight="1" spans="2:13">
      <c r="B7" s="221" t="s">
        <v>45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41" t="s">
        <v>46</v>
      </c>
    </row>
    <row r="8" s="203" customFormat="1" ht="36" customHeight="1" spans="2:171">
      <c r="B8" s="222" t="s">
        <v>5</v>
      </c>
      <c r="C8" s="222" t="s">
        <v>47</v>
      </c>
      <c r="D8" s="222" t="s">
        <v>6</v>
      </c>
      <c r="E8" s="222" t="s">
        <v>48</v>
      </c>
      <c r="F8" s="222" t="s">
        <v>49</v>
      </c>
      <c r="G8" s="222" t="s">
        <v>50</v>
      </c>
      <c r="H8" s="222"/>
      <c r="I8" s="222"/>
      <c r="J8" s="242" t="s">
        <v>51</v>
      </c>
      <c r="K8" s="243" t="s">
        <v>52</v>
      </c>
      <c r="L8" s="243"/>
      <c r="M8" s="244">
        <v>0.2302</v>
      </c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  <c r="FK8" s="207"/>
      <c r="FL8" s="207"/>
      <c r="FM8" s="207"/>
      <c r="FN8" s="207"/>
      <c r="FO8" s="207"/>
    </row>
    <row r="9" s="203" customFormat="1" ht="77.1" customHeight="1" spans="2:171">
      <c r="B9" s="222"/>
      <c r="C9" s="222"/>
      <c r="D9" s="222"/>
      <c r="E9" s="222"/>
      <c r="F9" s="222"/>
      <c r="G9" s="223" t="s">
        <v>53</v>
      </c>
      <c r="H9" s="224" t="s">
        <v>54</v>
      </c>
      <c r="I9" s="223" t="s">
        <v>55</v>
      </c>
      <c r="J9" s="222" t="s">
        <v>56</v>
      </c>
      <c r="K9" s="243" t="s">
        <v>57</v>
      </c>
      <c r="L9" s="223" t="s">
        <v>58</v>
      </c>
      <c r="M9" s="244"/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  <c r="FF9" s="207"/>
      <c r="FG9" s="207"/>
      <c r="FH9" s="207"/>
      <c r="FI9" s="207"/>
      <c r="FJ9" s="207"/>
      <c r="FK9" s="207"/>
      <c r="FL9" s="207"/>
      <c r="FM9" s="207"/>
      <c r="FN9" s="207"/>
      <c r="FO9" s="207"/>
    </row>
    <row r="10" s="204" customFormat="1" ht="78" customHeight="1" spans="2:171">
      <c r="B10" s="225" t="s">
        <v>8</v>
      </c>
      <c r="C10" s="225" t="s">
        <v>59</v>
      </c>
      <c r="D10" s="226" t="s">
        <v>60</v>
      </c>
      <c r="E10" s="227"/>
      <c r="F10" s="228"/>
      <c r="G10" s="229"/>
      <c r="H10" s="230"/>
      <c r="I10" s="229"/>
      <c r="J10" s="227"/>
      <c r="K10" s="245"/>
      <c r="L10" s="229"/>
      <c r="M10" s="246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8"/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8"/>
      <c r="FL10" s="258"/>
      <c r="FM10" s="258"/>
      <c r="FN10" s="258"/>
      <c r="FO10" s="258"/>
    </row>
    <row r="11" s="203" customFormat="1" ht="75" customHeight="1" spans="2:171">
      <c r="B11" s="231" t="s">
        <v>9</v>
      </c>
      <c r="C11" s="232" t="s">
        <v>61</v>
      </c>
      <c r="D11" s="233" t="str">
        <f>'AMBULANCIA_TIPO B'!A7</f>
        <v>COMPOSIÇÃO DE CUSTO UNITÁRIO PARA LOCAÇÃO  - COMPOSIÇÃO 01 - TIPO B</v>
      </c>
      <c r="E11" s="234" t="s">
        <v>62</v>
      </c>
      <c r="F11" s="235">
        <v>1</v>
      </c>
      <c r="G11" s="236">
        <f>'AMBULANCIA_TIPO B'!D88</f>
        <v>19649.74</v>
      </c>
      <c r="H11" s="237">
        <v>0.2302</v>
      </c>
      <c r="I11" s="236">
        <f>ROUND(((G11*H11)+G11),2)</f>
        <v>24173.11</v>
      </c>
      <c r="J11" s="247">
        <f>12*F11</f>
        <v>12</v>
      </c>
      <c r="K11" s="248">
        <f>ROUND(J11*G11,2)</f>
        <v>235796.88</v>
      </c>
      <c r="L11" s="236">
        <f>ROUND(J11*I11,2)</f>
        <v>290077.32</v>
      </c>
      <c r="M11" s="249">
        <f>L11/$L$13</f>
        <v>0.313517967378353</v>
      </c>
      <c r="O11" s="250">
        <f>1096357.92+675736.08</f>
        <v>1772094</v>
      </c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</row>
    <row r="12" s="205" customFormat="1" ht="75" customHeight="1" spans="2:171">
      <c r="B12" s="231" t="s">
        <v>10</v>
      </c>
      <c r="C12" s="232" t="s">
        <v>63</v>
      </c>
      <c r="D12" s="233" t="str">
        <f>'AMBULANCIA_TIPO D'!A7</f>
        <v>COMPOSIÇÃO DE CUSTO UNITÁRIO PARA LOCAÇÃO  - COMPOSIÇÃO 02 - TIPO D</v>
      </c>
      <c r="E12" s="234" t="str">
        <f>'[1]MEMÓRIA DE CALCULO'!D202</f>
        <v>MÊS</v>
      </c>
      <c r="F12" s="235">
        <v>2</v>
      </c>
      <c r="G12" s="236">
        <f>'AMBULANCIA_TIPO D'!D90</f>
        <v>21512.63</v>
      </c>
      <c r="H12" s="237">
        <v>0.2302</v>
      </c>
      <c r="I12" s="236">
        <f>ROUND(((G12*H12)+G12),2)</f>
        <v>26464.84</v>
      </c>
      <c r="J12" s="247">
        <f>12*F12</f>
        <v>24</v>
      </c>
      <c r="K12" s="248">
        <f>ROUND(J12*G12,2)</f>
        <v>516303.12</v>
      </c>
      <c r="L12" s="236">
        <f>ROUND(J12*I12,2)</f>
        <v>635156.16</v>
      </c>
      <c r="M12" s="249">
        <f>L12/$L$13</f>
        <v>0.686482032621647</v>
      </c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  <c r="FL12" s="259"/>
      <c r="FM12" s="259"/>
      <c r="FN12" s="259"/>
      <c r="FO12" s="259"/>
    </row>
    <row r="13" s="206" customFormat="1" ht="75" customHeight="1" spans="2:13">
      <c r="B13" s="238" t="s">
        <v>7</v>
      </c>
      <c r="C13" s="238"/>
      <c r="D13" s="238"/>
      <c r="E13" s="238"/>
      <c r="F13" s="238"/>
      <c r="G13" s="238"/>
      <c r="H13" s="238"/>
      <c r="I13" s="238"/>
      <c r="J13" s="238"/>
      <c r="K13" s="251">
        <f>SUM(K11:K12)</f>
        <v>752100</v>
      </c>
      <c r="L13" s="252">
        <f>SUM(L11:L12)</f>
        <v>925233.48</v>
      </c>
      <c r="M13" s="253">
        <f>L13/$L$13</f>
        <v>1</v>
      </c>
    </row>
    <row r="14" s="202" customFormat="1" ht="84.95" customHeight="1" spans="2:13">
      <c r="B14" s="228" t="s">
        <v>40</v>
      </c>
      <c r="C14" s="228"/>
      <c r="D14" s="239" t="str">
        <f>RESUMO!A14</f>
        <v>(NOVECENTOS E VINTE E CINCO MIL, DUZENTOS E TRINTA E TRÊS REAIS, E QUARENTA E OITO CENTAVOS)</v>
      </c>
      <c r="E14" s="239"/>
      <c r="F14" s="239"/>
      <c r="G14" s="239"/>
      <c r="H14" s="239"/>
      <c r="I14" s="239"/>
      <c r="J14" s="239"/>
      <c r="K14" s="239"/>
      <c r="L14" s="239"/>
      <c r="M14" s="239"/>
    </row>
    <row r="15" s="202" customFormat="1" ht="12.95" customHeight="1" spans="4:12">
      <c r="D15" s="203"/>
      <c r="E15" s="207"/>
      <c r="F15" s="207"/>
      <c r="G15" s="208"/>
      <c r="H15" s="209"/>
      <c r="I15" s="208"/>
      <c r="J15" s="210"/>
      <c r="K15" s="210"/>
      <c r="L15" s="210"/>
    </row>
    <row r="16" s="202" customFormat="1" ht="19.5" customHeight="1" spans="4:12">
      <c r="D16" s="203"/>
      <c r="E16" s="207"/>
      <c r="F16" s="207"/>
      <c r="G16" s="208"/>
      <c r="H16" s="209"/>
      <c r="I16" s="254"/>
      <c r="J16" s="210"/>
      <c r="K16" s="210"/>
      <c r="L16" s="210"/>
    </row>
    <row r="17" s="202" customFormat="1" ht="19.5" customHeight="1" spans="9:13">
      <c r="I17" s="255"/>
      <c r="J17" s="255"/>
      <c r="K17" s="255"/>
      <c r="L17" s="255"/>
      <c r="M17" s="255"/>
    </row>
    <row r="18" s="202" customFormat="1" ht="19.5" customHeight="1" spans="9:13">
      <c r="I18" s="256"/>
      <c r="J18" s="257"/>
      <c r="K18" s="257"/>
      <c r="L18" s="257"/>
      <c r="M18" s="257"/>
    </row>
    <row r="19" s="202" customFormat="1" ht="19.5" customHeight="1"/>
    <row r="20" s="202" customFormat="1" ht="19.5" customHeight="1" spans="4:12">
      <c r="D20" s="203"/>
      <c r="E20" s="207"/>
      <c r="F20" s="207"/>
      <c r="G20" s="208"/>
      <c r="H20" s="209"/>
      <c r="I20" s="208"/>
      <c r="J20" s="210"/>
      <c r="K20" s="210"/>
      <c r="L20" s="210"/>
    </row>
  </sheetData>
  <mergeCells count="20">
    <mergeCell ref="B2:M2"/>
    <mergeCell ref="B3:M3"/>
    <mergeCell ref="B4:C4"/>
    <mergeCell ref="D4:M4"/>
    <mergeCell ref="B5:C5"/>
    <mergeCell ref="D5:M5"/>
    <mergeCell ref="B6:M6"/>
    <mergeCell ref="B7:L7"/>
    <mergeCell ref="G8:I8"/>
    <mergeCell ref="K8:L8"/>
    <mergeCell ref="B13:J13"/>
    <mergeCell ref="B14:C14"/>
    <mergeCell ref="D14:M14"/>
    <mergeCell ref="I17:M17"/>
    <mergeCell ref="B8:B9"/>
    <mergeCell ref="C8:C9"/>
    <mergeCell ref="D8:D9"/>
    <mergeCell ref="E8:E9"/>
    <mergeCell ref="F8:F9"/>
    <mergeCell ref="M8:M9"/>
  </mergeCells>
  <pageMargins left="0.511811024" right="0.511811024" top="0.787401575" bottom="0.787401575" header="0.31496062" footer="0.31496062"/>
  <pageSetup paperSize="9" scale="42" orientation="portrait"/>
  <headerFooter/>
  <ignoredErrors>
    <ignoredError sqref="D4:D5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2"/>
  <sheetViews>
    <sheetView tabSelected="1" view="pageBreakPreview" zoomScale="85" zoomScaleNormal="100" workbookViewId="0">
      <selection activeCell="A1" sqref="A1:D1"/>
    </sheetView>
  </sheetViews>
  <sheetFormatPr defaultColWidth="9.14285714285714" defaultRowHeight="15.75"/>
  <cols>
    <col min="1" max="1" width="12.8571428571429" style="50" customWidth="1"/>
    <col min="2" max="2" width="56.2857142857143" style="50" customWidth="1"/>
    <col min="3" max="3" width="22.2857142857143" style="50" customWidth="1"/>
    <col min="4" max="4" width="31.5714285714286" style="50" customWidth="1"/>
    <col min="5" max="5" width="20.7142857142857" style="50" customWidth="1"/>
    <col min="6" max="6" width="17.1428571428571" style="52" customWidth="1"/>
    <col min="7" max="7" width="11.5714285714286" style="52" customWidth="1"/>
    <col min="8" max="13" width="9.14285714285714" style="52"/>
    <col min="14" max="16384" width="9.14285714285714" style="50"/>
  </cols>
  <sheetData>
    <row r="1" ht="63.95" customHeight="1" spans="1:5">
      <c r="A1" s="53"/>
      <c r="B1" s="54"/>
      <c r="C1" s="54"/>
      <c r="D1" s="55"/>
      <c r="E1" s="109"/>
    </row>
    <row r="2" ht="35.1" customHeight="1" spans="1:13">
      <c r="A2" s="110" t="s">
        <v>0</v>
      </c>
      <c r="B2" s="111"/>
      <c r="C2" s="111"/>
      <c r="D2" s="112"/>
      <c r="E2" s="113"/>
      <c r="F2" s="59"/>
      <c r="G2" s="59"/>
      <c r="H2" s="59"/>
      <c r="I2" s="59"/>
      <c r="J2" s="59"/>
      <c r="K2" s="59"/>
      <c r="L2" s="59"/>
      <c r="M2" s="59"/>
    </row>
    <row r="3" ht="90.95" customHeight="1" spans="1:13">
      <c r="A3" s="114" t="s">
        <v>2</v>
      </c>
      <c r="B3" s="115"/>
      <c r="C3" s="115"/>
      <c r="D3" s="115"/>
      <c r="E3" s="116"/>
      <c r="F3" s="59"/>
      <c r="G3" s="59"/>
      <c r="H3" s="59"/>
      <c r="I3" s="59"/>
      <c r="J3" s="59"/>
      <c r="K3" s="59"/>
      <c r="L3" s="59"/>
      <c r="M3" s="59"/>
    </row>
    <row r="4" ht="21.95" customHeight="1" spans="1:13">
      <c r="A4" s="62" t="s">
        <v>64</v>
      </c>
      <c r="B4" s="62"/>
      <c r="C4" s="62"/>
      <c r="D4" s="62"/>
      <c r="E4" s="117"/>
      <c r="F4" s="59"/>
      <c r="G4" s="59"/>
      <c r="H4" s="59"/>
      <c r="I4" s="59"/>
      <c r="J4" s="59"/>
      <c r="K4" s="59"/>
      <c r="L4" s="59"/>
      <c r="M4" s="59"/>
    </row>
    <row r="5" ht="36" customHeight="1" spans="1:13">
      <c r="A5" s="63" t="s">
        <v>65</v>
      </c>
      <c r="B5" s="63"/>
      <c r="C5" s="63"/>
      <c r="D5" s="63"/>
      <c r="E5" s="118"/>
      <c r="F5" s="59"/>
      <c r="G5" s="59"/>
      <c r="H5" s="59"/>
      <c r="I5" s="59"/>
      <c r="J5" s="59"/>
      <c r="K5" s="59"/>
      <c r="L5" s="59"/>
      <c r="M5" s="59"/>
    </row>
    <row r="6" ht="21.95" customHeight="1" spans="1:13">
      <c r="A6" s="63" t="s">
        <v>66</v>
      </c>
      <c r="B6" s="63"/>
      <c r="C6" s="63"/>
      <c r="D6" s="63"/>
      <c r="E6" s="119"/>
      <c r="F6" s="59"/>
      <c r="G6" s="59"/>
      <c r="H6" s="59"/>
      <c r="I6" s="59"/>
      <c r="J6" s="59"/>
      <c r="K6" s="59"/>
      <c r="L6" s="59"/>
      <c r="M6" s="59"/>
    </row>
    <row r="7" ht="21.95" customHeight="1" spans="1:13">
      <c r="A7" s="64" t="s">
        <v>67</v>
      </c>
      <c r="B7" s="64"/>
      <c r="C7" s="64"/>
      <c r="D7" s="64"/>
      <c r="E7" s="119"/>
      <c r="F7" s="59"/>
      <c r="G7" s="59"/>
      <c r="H7" s="59"/>
      <c r="I7" s="59"/>
      <c r="J7" s="59"/>
      <c r="K7" s="59"/>
      <c r="L7" s="59"/>
      <c r="M7" s="59"/>
    </row>
    <row r="8" ht="11.1" customHeight="1" spans="1:13">
      <c r="A8" s="69"/>
      <c r="B8" s="69"/>
      <c r="C8" s="74" t="s">
        <v>68</v>
      </c>
      <c r="D8" s="74"/>
      <c r="E8" s="120"/>
      <c r="F8" s="59"/>
      <c r="G8" s="59"/>
      <c r="H8" s="59"/>
      <c r="I8" s="59"/>
      <c r="J8" s="59"/>
      <c r="K8" s="59"/>
      <c r="L8" s="59"/>
      <c r="M8" s="59"/>
    </row>
    <row r="9" ht="11.1" customHeight="1" spans="1:13">
      <c r="A9" s="69"/>
      <c r="B9" s="69"/>
      <c r="C9" s="74"/>
      <c r="D9" s="74"/>
      <c r="E9" s="120"/>
      <c r="F9" s="59"/>
      <c r="G9" s="59"/>
      <c r="H9" s="59"/>
      <c r="I9" s="59"/>
      <c r="J9" s="59"/>
      <c r="K9" s="59"/>
      <c r="L9" s="59"/>
      <c r="M9" s="59"/>
    </row>
    <row r="10" ht="11.1" customHeight="1" spans="1:13">
      <c r="A10" s="69"/>
      <c r="B10" s="69"/>
      <c r="C10" s="74"/>
      <c r="D10" s="74"/>
      <c r="E10" s="120"/>
      <c r="F10" s="59"/>
      <c r="G10" s="59"/>
      <c r="H10" s="59"/>
      <c r="I10" s="59"/>
      <c r="J10" s="59"/>
      <c r="K10" s="59"/>
      <c r="L10" s="59"/>
      <c r="M10" s="59"/>
    </row>
    <row r="11" ht="11.1" customHeight="1" spans="1:13">
      <c r="A11" s="69"/>
      <c r="B11" s="69"/>
      <c r="C11" s="74"/>
      <c r="D11" s="74"/>
      <c r="E11" s="120"/>
      <c r="F11" s="59"/>
      <c r="G11" s="59"/>
      <c r="H11" s="59"/>
      <c r="I11" s="59"/>
      <c r="J11" s="59"/>
      <c r="K11" s="59"/>
      <c r="L11" s="59"/>
      <c r="M11" s="59"/>
    </row>
    <row r="12" ht="11.1" customHeight="1" spans="1:13">
      <c r="A12" s="69"/>
      <c r="B12" s="69"/>
      <c r="C12" s="74"/>
      <c r="D12" s="74"/>
      <c r="E12" s="120"/>
      <c r="F12" s="59"/>
      <c r="G12" s="59"/>
      <c r="H12" s="59"/>
      <c r="I12" s="59"/>
      <c r="J12" s="59"/>
      <c r="K12" s="59"/>
      <c r="L12" s="59"/>
      <c r="M12" s="59"/>
    </row>
    <row r="13" ht="11.1" customHeight="1" spans="1:13">
      <c r="A13" s="69"/>
      <c r="B13" s="69"/>
      <c r="C13" s="74"/>
      <c r="D13" s="74"/>
      <c r="E13" s="120"/>
      <c r="F13" s="59"/>
      <c r="G13" s="59"/>
      <c r="H13" s="59"/>
      <c r="I13" s="59"/>
      <c r="J13" s="59"/>
      <c r="K13" s="59"/>
      <c r="L13" s="59"/>
      <c r="M13" s="59"/>
    </row>
    <row r="14" ht="11.1" customHeight="1" spans="1:13">
      <c r="A14" s="69"/>
      <c r="B14" s="69"/>
      <c r="C14" s="74"/>
      <c r="D14" s="74"/>
      <c r="E14" s="120"/>
      <c r="F14" s="59"/>
      <c r="G14" s="59"/>
      <c r="H14" s="59"/>
      <c r="I14" s="59"/>
      <c r="J14" s="59"/>
      <c r="K14" s="59"/>
      <c r="L14" s="59"/>
      <c r="M14" s="59"/>
    </row>
    <row r="15" ht="11.1" customHeight="1" spans="1:13">
      <c r="A15" s="69"/>
      <c r="B15" s="69"/>
      <c r="C15" s="74"/>
      <c r="D15" s="74"/>
      <c r="E15" s="120"/>
      <c r="F15" s="59"/>
      <c r="G15" s="59"/>
      <c r="H15" s="59"/>
      <c r="I15" s="59"/>
      <c r="J15" s="59"/>
      <c r="K15" s="59"/>
      <c r="L15" s="59"/>
      <c r="M15" s="59"/>
    </row>
    <row r="16" ht="11.1" customHeight="1" spans="1:13">
      <c r="A16" s="69"/>
      <c r="B16" s="69"/>
      <c r="C16" s="74"/>
      <c r="D16" s="74"/>
      <c r="E16" s="120"/>
      <c r="F16" s="59"/>
      <c r="G16" s="59"/>
      <c r="H16" s="59"/>
      <c r="I16" s="59"/>
      <c r="J16" s="59"/>
      <c r="K16" s="59"/>
      <c r="L16" s="59"/>
      <c r="M16" s="59"/>
    </row>
    <row r="17" ht="11.1" customHeight="1" spans="1:13">
      <c r="A17" s="69"/>
      <c r="B17" s="69"/>
      <c r="C17" s="74"/>
      <c r="D17" s="74"/>
      <c r="E17" s="120"/>
      <c r="F17" s="59"/>
      <c r="G17" s="59"/>
      <c r="H17" s="59"/>
      <c r="I17" s="59"/>
      <c r="J17" s="59"/>
      <c r="K17" s="59"/>
      <c r="L17" s="59"/>
      <c r="M17" s="59"/>
    </row>
    <row r="18" ht="11.1" customHeight="1" spans="1:13">
      <c r="A18" s="69"/>
      <c r="B18" s="69"/>
      <c r="C18" s="74"/>
      <c r="D18" s="74"/>
      <c r="E18" s="120"/>
      <c r="F18" s="59"/>
      <c r="G18" s="59"/>
      <c r="H18" s="59"/>
      <c r="I18" s="59"/>
      <c r="J18" s="59"/>
      <c r="K18" s="59"/>
      <c r="L18" s="59"/>
      <c r="M18" s="59"/>
    </row>
    <row r="19" ht="11.1" customHeight="1" spans="1:13">
      <c r="A19" s="69"/>
      <c r="B19" s="69"/>
      <c r="C19" s="74"/>
      <c r="D19" s="74"/>
      <c r="E19" s="120"/>
      <c r="F19" s="59"/>
      <c r="G19" s="121"/>
      <c r="H19" s="59"/>
      <c r="I19" s="59"/>
      <c r="J19" s="59"/>
      <c r="K19" s="59"/>
      <c r="L19" s="59"/>
      <c r="M19" s="59"/>
    </row>
    <row r="20" ht="11.1" customHeight="1" spans="1:13">
      <c r="A20" s="69"/>
      <c r="B20" s="69"/>
      <c r="C20" s="74"/>
      <c r="D20" s="74"/>
      <c r="E20" s="120"/>
      <c r="F20" s="59"/>
      <c r="G20" s="59"/>
      <c r="H20" s="59"/>
      <c r="I20" s="59"/>
      <c r="J20" s="59"/>
      <c r="K20" s="59"/>
      <c r="L20" s="59"/>
      <c r="M20" s="59"/>
    </row>
    <row r="21" ht="11.1" customHeight="1" spans="1:13">
      <c r="A21" s="69"/>
      <c r="B21" s="69"/>
      <c r="C21" s="74"/>
      <c r="D21" s="74"/>
      <c r="E21" s="120"/>
      <c r="F21" s="59"/>
      <c r="G21" s="59"/>
      <c r="H21" s="59"/>
      <c r="I21" s="59"/>
      <c r="J21" s="59"/>
      <c r="K21" s="59"/>
      <c r="L21" s="59"/>
      <c r="M21" s="59"/>
    </row>
    <row r="22" ht="11.1" customHeight="1" spans="1:13">
      <c r="A22" s="69"/>
      <c r="B22" s="69"/>
      <c r="C22" s="74"/>
      <c r="D22" s="74"/>
      <c r="E22" s="120"/>
      <c r="F22" s="59"/>
      <c r="G22" s="59"/>
      <c r="H22" s="59"/>
      <c r="I22" s="59"/>
      <c r="J22" s="59"/>
      <c r="K22" s="59"/>
      <c r="L22" s="59"/>
      <c r="M22" s="59"/>
    </row>
    <row r="23" ht="41.1" customHeight="1" spans="1:13">
      <c r="A23" s="122" t="s">
        <v>69</v>
      </c>
      <c r="B23" s="122"/>
      <c r="C23" s="122"/>
      <c r="D23" s="122"/>
      <c r="E23" s="123"/>
      <c r="F23" s="59"/>
      <c r="G23" s="59"/>
      <c r="H23" s="59"/>
      <c r="I23" s="59"/>
      <c r="J23" s="59"/>
      <c r="K23" s="59"/>
      <c r="L23" s="59"/>
      <c r="M23" s="59"/>
    </row>
    <row r="24" ht="21.95" customHeight="1" spans="1:13">
      <c r="A24" s="88" t="s">
        <v>70</v>
      </c>
      <c r="B24" s="89" t="s">
        <v>71</v>
      </c>
      <c r="C24" s="90"/>
      <c r="D24" s="124"/>
      <c r="E24" s="125"/>
      <c r="F24" s="59"/>
      <c r="G24" s="59"/>
      <c r="H24" s="59"/>
      <c r="I24" s="59"/>
      <c r="J24" s="59"/>
      <c r="K24" s="59"/>
      <c r="L24" s="59"/>
      <c r="M24" s="59"/>
    </row>
    <row r="25" ht="6" customHeight="1" spans="1:13">
      <c r="A25" s="69"/>
      <c r="B25" s="70"/>
      <c r="C25" s="69"/>
      <c r="D25" s="70"/>
      <c r="E25" s="105"/>
      <c r="F25" s="59"/>
      <c r="G25" s="59"/>
      <c r="H25" s="59"/>
      <c r="I25" s="59"/>
      <c r="J25" s="59"/>
      <c r="K25" s="59"/>
      <c r="L25" s="59"/>
      <c r="M25" s="59"/>
    </row>
    <row r="26" ht="23.1" customHeight="1" spans="1:13">
      <c r="A26" s="69" t="s">
        <v>72</v>
      </c>
      <c r="B26" s="71" t="s">
        <v>73</v>
      </c>
      <c r="C26" s="69" t="s">
        <v>74</v>
      </c>
      <c r="D26" s="190">
        <v>183523</v>
      </c>
      <c r="E26" s="126"/>
      <c r="F26" s="127"/>
      <c r="G26" s="98"/>
      <c r="H26" s="128"/>
      <c r="I26" s="59"/>
      <c r="J26" s="59"/>
      <c r="K26" s="59"/>
      <c r="L26" s="59"/>
      <c r="M26" s="59"/>
    </row>
    <row r="27" ht="23.1" customHeight="1" spans="1:13">
      <c r="A27" s="69" t="s">
        <v>75</v>
      </c>
      <c r="B27" s="71" t="s">
        <v>76</v>
      </c>
      <c r="C27" s="69" t="s">
        <v>77</v>
      </c>
      <c r="D27" s="129">
        <f>12*4</f>
        <v>48</v>
      </c>
      <c r="E27" s="130"/>
      <c r="F27" s="59"/>
      <c r="G27" s="98"/>
      <c r="H27" s="128"/>
      <c r="I27" s="59"/>
      <c r="J27" s="59"/>
      <c r="K27" s="59"/>
      <c r="L27" s="59"/>
      <c r="M27" s="59"/>
    </row>
    <row r="28" ht="21.95" customHeight="1" spans="1:13">
      <c r="A28" s="69" t="s">
        <v>78</v>
      </c>
      <c r="B28" s="74" t="s">
        <v>79</v>
      </c>
      <c r="C28" s="69" t="s">
        <v>80</v>
      </c>
      <c r="D28" s="75">
        <v>0.25</v>
      </c>
      <c r="E28" s="131"/>
      <c r="F28" s="59"/>
      <c r="G28" s="128"/>
      <c r="H28" s="59"/>
      <c r="I28" s="59"/>
      <c r="J28" s="59"/>
      <c r="K28" s="59"/>
      <c r="L28" s="59"/>
      <c r="M28" s="59"/>
    </row>
    <row r="29" ht="20.1" customHeight="1" spans="1:13">
      <c r="A29" s="77" t="s">
        <v>81</v>
      </c>
      <c r="B29" s="77"/>
      <c r="C29" s="69" t="s">
        <v>82</v>
      </c>
      <c r="D29" s="191">
        <f>ROUND((D26/D27)-((D26*D28)/D27),2)</f>
        <v>2867.55</v>
      </c>
      <c r="E29" s="132"/>
      <c r="F29" s="133"/>
      <c r="G29" s="94"/>
      <c r="H29" s="98"/>
      <c r="I29" s="59"/>
      <c r="J29" s="59"/>
      <c r="K29" s="59"/>
      <c r="L29" s="59"/>
      <c r="M29" s="59"/>
    </row>
    <row r="30" ht="6.95" customHeight="1" spans="1:13">
      <c r="A30" s="69"/>
      <c r="B30" s="70"/>
      <c r="C30" s="69"/>
      <c r="D30" s="70"/>
      <c r="E30" s="105"/>
      <c r="F30" s="59"/>
      <c r="G30" s="128"/>
      <c r="H30" s="59"/>
      <c r="I30" s="59"/>
      <c r="J30" s="59"/>
      <c r="K30" s="59"/>
      <c r="L30" s="59"/>
      <c r="M30" s="59"/>
    </row>
    <row r="31" ht="21.95" customHeight="1" spans="1:13">
      <c r="A31" s="88" t="s">
        <v>83</v>
      </c>
      <c r="B31" s="89" t="s">
        <v>84</v>
      </c>
      <c r="C31" s="90"/>
      <c r="D31" s="124"/>
      <c r="E31" s="125"/>
      <c r="F31" s="59"/>
      <c r="G31" s="59"/>
      <c r="H31" s="59"/>
      <c r="I31" s="59"/>
      <c r="J31" s="59"/>
      <c r="K31" s="59"/>
      <c r="L31" s="59"/>
      <c r="M31" s="59"/>
    </row>
    <row r="32" ht="8.1" customHeight="1" spans="1:13">
      <c r="A32" s="69"/>
      <c r="B32" s="70"/>
      <c r="C32" s="69"/>
      <c r="D32" s="70"/>
      <c r="E32" s="105"/>
      <c r="F32" s="59"/>
      <c r="G32" s="98"/>
      <c r="H32" s="59"/>
      <c r="I32" s="59"/>
      <c r="J32" s="59"/>
      <c r="K32" s="59"/>
      <c r="L32" s="59"/>
      <c r="M32" s="59"/>
    </row>
    <row r="33" ht="21.95" customHeight="1" spans="1:13">
      <c r="A33" s="69" t="s">
        <v>85</v>
      </c>
      <c r="B33" s="70" t="s">
        <v>86</v>
      </c>
      <c r="C33" s="69" t="s">
        <v>87</v>
      </c>
      <c r="D33" s="80">
        <f>D28/D27</f>
        <v>0.00520833333333333</v>
      </c>
      <c r="E33" s="134"/>
      <c r="F33" s="59"/>
      <c r="G33" s="98"/>
      <c r="H33" s="59"/>
      <c r="I33" s="59"/>
      <c r="J33" s="59"/>
      <c r="K33" s="59"/>
      <c r="L33" s="59"/>
      <c r="M33" s="59"/>
    </row>
    <row r="34" ht="21.95" customHeight="1" spans="1:13">
      <c r="A34" s="77" t="s">
        <v>81</v>
      </c>
      <c r="B34" s="77"/>
      <c r="C34" s="69" t="s">
        <v>88</v>
      </c>
      <c r="D34" s="192">
        <f>ROUND(D26*D33,2)</f>
        <v>955.85</v>
      </c>
      <c r="E34" s="135"/>
      <c r="F34" s="59"/>
      <c r="G34" s="59"/>
      <c r="H34" s="59"/>
      <c r="I34" s="59"/>
      <c r="J34" s="59"/>
      <c r="K34" s="59"/>
      <c r="L34" s="59"/>
      <c r="M34" s="59"/>
    </row>
    <row r="35" ht="9" customHeight="1" spans="1:13">
      <c r="A35" s="69"/>
      <c r="B35" s="70"/>
      <c r="C35" s="69"/>
      <c r="D35" s="70"/>
      <c r="E35" s="105"/>
      <c r="F35" s="59"/>
      <c r="G35" s="59"/>
      <c r="H35" s="59"/>
      <c r="I35" s="59"/>
      <c r="J35" s="59"/>
      <c r="K35" s="59"/>
      <c r="L35" s="59"/>
      <c r="M35" s="59"/>
    </row>
    <row r="36" ht="21" customHeight="1" spans="1:13">
      <c r="A36" s="88" t="s">
        <v>89</v>
      </c>
      <c r="B36" s="89" t="s">
        <v>90</v>
      </c>
      <c r="C36" s="90"/>
      <c r="D36" s="124"/>
      <c r="E36" s="125"/>
      <c r="F36" s="59"/>
      <c r="G36" s="59"/>
      <c r="H36" s="59"/>
      <c r="I36" s="59"/>
      <c r="J36" s="59"/>
      <c r="K36" s="59"/>
      <c r="L36" s="59"/>
      <c r="M36" s="59"/>
    </row>
    <row r="37" ht="9" customHeight="1" spans="1:13">
      <c r="A37" s="69"/>
      <c r="B37" s="70"/>
      <c r="C37" s="69"/>
      <c r="D37" s="70"/>
      <c r="E37" s="105"/>
      <c r="F37" s="59"/>
      <c r="G37" s="59"/>
      <c r="H37" s="59"/>
      <c r="I37" s="59"/>
      <c r="J37" s="59"/>
      <c r="K37" s="59"/>
      <c r="L37" s="59"/>
      <c r="M37" s="59"/>
    </row>
    <row r="38" ht="30.95" hidden="1" customHeight="1" spans="1:13">
      <c r="A38" s="69" t="s">
        <v>91</v>
      </c>
      <c r="B38" s="136" t="s">
        <v>92</v>
      </c>
      <c r="C38" s="69" t="s">
        <v>93</v>
      </c>
      <c r="D38" s="137"/>
      <c r="E38" s="138"/>
      <c r="F38" s="59"/>
      <c r="G38" s="59"/>
      <c r="H38" s="59"/>
      <c r="I38" s="59"/>
      <c r="J38" s="59"/>
      <c r="K38" s="59"/>
      <c r="L38" s="59"/>
      <c r="M38" s="59"/>
    </row>
    <row r="39" ht="30.95" hidden="1" customHeight="1" spans="1:13">
      <c r="A39" s="69"/>
      <c r="B39" s="70" t="s">
        <v>94</v>
      </c>
      <c r="C39" s="69"/>
      <c r="D39" s="137"/>
      <c r="E39" s="138"/>
      <c r="F39" s="59"/>
      <c r="G39" s="59"/>
      <c r="H39" s="59"/>
      <c r="I39" s="59"/>
      <c r="J39" s="59"/>
      <c r="K39" s="59"/>
      <c r="L39" s="59"/>
      <c r="M39" s="59"/>
    </row>
    <row r="40" ht="21.95" customHeight="1" spans="1:13">
      <c r="A40" s="69" t="s">
        <v>91</v>
      </c>
      <c r="B40" s="139" t="s">
        <v>95</v>
      </c>
      <c r="C40" s="69" t="s">
        <v>96</v>
      </c>
      <c r="D40" s="193">
        <f>ROUND(39*4,2)</f>
        <v>156</v>
      </c>
      <c r="E40" s="138"/>
      <c r="F40" s="59"/>
      <c r="G40" s="59"/>
      <c r="H40" s="59"/>
      <c r="I40" s="59"/>
      <c r="J40" s="59"/>
      <c r="K40" s="59"/>
      <c r="L40" s="59"/>
      <c r="M40" s="59"/>
    </row>
    <row r="41" ht="21.95" customHeight="1" spans="1:13">
      <c r="A41" s="69" t="s">
        <v>97</v>
      </c>
      <c r="B41" s="70" t="s">
        <v>98</v>
      </c>
      <c r="C41" s="69" t="s">
        <v>99</v>
      </c>
      <c r="D41" s="193">
        <f>ROUND(D26*0.01,2)</f>
        <v>1835.23</v>
      </c>
      <c r="E41" s="138"/>
      <c r="F41" s="59"/>
      <c r="G41" s="59"/>
      <c r="H41" s="59"/>
      <c r="I41" s="59"/>
      <c r="J41" s="59"/>
      <c r="K41" s="59"/>
      <c r="L41" s="59"/>
      <c r="M41" s="59"/>
    </row>
    <row r="42" ht="21.95" customHeight="1" spans="1:13">
      <c r="A42" s="77" t="s">
        <v>81</v>
      </c>
      <c r="B42" s="77"/>
      <c r="C42" s="140" t="s">
        <v>100</v>
      </c>
      <c r="D42" s="81">
        <f>SUM(D38:D41)</f>
        <v>1991.23</v>
      </c>
      <c r="E42" s="135"/>
      <c r="F42" s="59"/>
      <c r="G42" s="59"/>
      <c r="H42" s="59"/>
      <c r="I42" s="59"/>
      <c r="J42" s="59"/>
      <c r="K42" s="59"/>
      <c r="L42" s="59"/>
      <c r="M42" s="59"/>
    </row>
    <row r="43" ht="9" customHeight="1" spans="1:13">
      <c r="A43" s="69"/>
      <c r="B43" s="70"/>
      <c r="C43" s="69"/>
      <c r="D43" s="70"/>
      <c r="E43" s="105"/>
      <c r="F43" s="59"/>
      <c r="G43" s="59"/>
      <c r="H43" s="59"/>
      <c r="I43" s="59"/>
      <c r="J43" s="59"/>
      <c r="K43" s="59"/>
      <c r="L43" s="59"/>
      <c r="M43" s="59"/>
    </row>
    <row r="44" ht="27.95" customHeight="1" spans="1:13">
      <c r="A44" s="122" t="s">
        <v>101</v>
      </c>
      <c r="B44" s="122"/>
      <c r="C44" s="122"/>
      <c r="D44" s="122"/>
      <c r="E44" s="141"/>
      <c r="F44" s="59"/>
      <c r="G44" s="59"/>
      <c r="H44" s="59"/>
      <c r="I44" s="59"/>
      <c r="J44" s="59"/>
      <c r="K44" s="59"/>
      <c r="L44" s="59"/>
      <c r="M44" s="59"/>
    </row>
    <row r="45" ht="9" customHeight="1" spans="1:13">
      <c r="A45" s="69"/>
      <c r="B45" s="70"/>
      <c r="C45" s="69"/>
      <c r="D45" s="70"/>
      <c r="E45" s="105"/>
      <c r="F45" s="59"/>
      <c r="G45" s="59"/>
      <c r="H45" s="59"/>
      <c r="I45" s="59"/>
      <c r="J45" s="59"/>
      <c r="K45" s="59"/>
      <c r="L45" s="59"/>
      <c r="M45" s="59"/>
    </row>
    <row r="46" ht="23.1" customHeight="1" spans="1:13">
      <c r="A46" s="88" t="s">
        <v>102</v>
      </c>
      <c r="B46" s="89" t="s">
        <v>103</v>
      </c>
      <c r="C46" s="90"/>
      <c r="D46" s="124"/>
      <c r="E46" s="125"/>
      <c r="F46" s="59"/>
      <c r="G46" s="59"/>
      <c r="H46" s="59"/>
      <c r="I46" s="59"/>
      <c r="J46" s="59"/>
      <c r="K46" s="59"/>
      <c r="L46" s="59"/>
      <c r="M46" s="59"/>
    </row>
    <row r="47" ht="9" customHeight="1" spans="1:13">
      <c r="A47" s="69"/>
      <c r="B47" s="70"/>
      <c r="C47" s="69"/>
      <c r="D47" s="70"/>
      <c r="E47" s="105"/>
      <c r="F47" s="59"/>
      <c r="G47" s="59"/>
      <c r="H47" s="59"/>
      <c r="I47" s="59"/>
      <c r="J47" s="59"/>
      <c r="K47" s="59"/>
      <c r="L47" s="59"/>
      <c r="M47" s="59"/>
    </row>
    <row r="48" ht="21.95" customHeight="1" spans="1:13">
      <c r="A48" s="69" t="s">
        <v>104</v>
      </c>
      <c r="B48" s="142" t="s">
        <v>105</v>
      </c>
      <c r="C48" s="69" t="s">
        <v>106</v>
      </c>
      <c r="D48" s="143">
        <v>0</v>
      </c>
      <c r="E48" s="144"/>
      <c r="F48" s="145"/>
      <c r="G48" s="59"/>
      <c r="H48" s="59"/>
      <c r="I48" s="59"/>
      <c r="J48" s="59"/>
      <c r="K48" s="59"/>
      <c r="L48" s="59"/>
      <c r="M48" s="59"/>
    </row>
    <row r="49" ht="21.95" customHeight="1" spans="1:13">
      <c r="A49" s="69" t="s">
        <v>107</v>
      </c>
      <c r="B49" s="70" t="s">
        <v>108</v>
      </c>
      <c r="C49" s="69" t="s">
        <v>109</v>
      </c>
      <c r="D49" s="76">
        <v>12</v>
      </c>
      <c r="E49" s="146"/>
      <c r="F49" s="147"/>
      <c r="G49" s="59"/>
      <c r="H49" s="59"/>
      <c r="I49" s="59"/>
      <c r="J49" s="59"/>
      <c r="K49" s="59"/>
      <c r="L49" s="59"/>
      <c r="M49" s="59"/>
    </row>
    <row r="50" ht="21.95" customHeight="1" spans="1:13">
      <c r="A50" s="69" t="s">
        <v>110</v>
      </c>
      <c r="B50" s="71" t="s">
        <v>111</v>
      </c>
      <c r="C50" s="69" t="s">
        <v>112</v>
      </c>
      <c r="D50" s="148">
        <v>8.9</v>
      </c>
      <c r="E50" s="149"/>
      <c r="F50" s="150"/>
      <c r="G50" s="59"/>
      <c r="H50" s="59"/>
      <c r="I50" s="59"/>
      <c r="J50" s="59"/>
      <c r="K50" s="59"/>
      <c r="L50" s="59"/>
      <c r="M50" s="59"/>
    </row>
    <row r="51" ht="21.95" customHeight="1" spans="1:13">
      <c r="A51" s="69" t="s">
        <v>113</v>
      </c>
      <c r="B51" s="71" t="s">
        <v>114</v>
      </c>
      <c r="C51" s="69" t="s">
        <v>115</v>
      </c>
      <c r="D51" s="151">
        <f>17855.93/3</f>
        <v>5951.97666666667</v>
      </c>
      <c r="E51" s="152"/>
      <c r="F51" s="153"/>
      <c r="G51" s="154"/>
      <c r="H51" s="59"/>
      <c r="I51" s="59"/>
      <c r="J51" s="59"/>
      <c r="K51" s="59"/>
      <c r="L51" s="59"/>
      <c r="M51" s="59"/>
    </row>
    <row r="52" ht="21.95" customHeight="1" spans="1:13">
      <c r="A52" s="77" t="s">
        <v>81</v>
      </c>
      <c r="B52" s="77"/>
      <c r="C52" s="69" t="s">
        <v>116</v>
      </c>
      <c r="D52" s="155">
        <f>ROUND((D51/D50)*D48,2)</f>
        <v>0</v>
      </c>
      <c r="E52" s="156"/>
      <c r="F52" s="59"/>
      <c r="G52" s="59"/>
      <c r="H52" s="59"/>
      <c r="I52" s="59"/>
      <c r="J52" s="59"/>
      <c r="K52" s="59"/>
      <c r="L52" s="59"/>
      <c r="M52" s="59"/>
    </row>
    <row r="53" ht="6.95" customHeight="1" spans="1:13">
      <c r="A53" s="140"/>
      <c r="B53" s="157"/>
      <c r="C53" s="140"/>
      <c r="D53" s="157"/>
      <c r="E53" s="158"/>
      <c r="F53" s="59"/>
      <c r="G53" s="59"/>
      <c r="H53" s="59"/>
      <c r="I53" s="59"/>
      <c r="J53" s="59"/>
      <c r="K53" s="59"/>
      <c r="L53" s="59"/>
      <c r="M53" s="59"/>
    </row>
    <row r="54" ht="21.95" customHeight="1" spans="1:13">
      <c r="A54" s="88" t="s">
        <v>117</v>
      </c>
      <c r="B54" s="89" t="s">
        <v>118</v>
      </c>
      <c r="C54" s="90"/>
      <c r="D54" s="124"/>
      <c r="E54" s="125"/>
      <c r="F54" s="59"/>
      <c r="G54" s="59"/>
      <c r="H54" s="59"/>
      <c r="I54" s="59"/>
      <c r="J54" s="59"/>
      <c r="K54" s="59"/>
      <c r="L54" s="59"/>
      <c r="M54" s="59"/>
    </row>
    <row r="55" ht="6.95" customHeight="1" spans="1:13">
      <c r="A55" s="69"/>
      <c r="B55" s="70"/>
      <c r="C55" s="69"/>
      <c r="D55" s="70"/>
      <c r="E55" s="105"/>
      <c r="F55" s="59"/>
      <c r="G55" s="59"/>
      <c r="H55" s="59"/>
      <c r="I55" s="59"/>
      <c r="J55" s="59"/>
      <c r="K55" s="59"/>
      <c r="L55" s="59"/>
      <c r="M55" s="59"/>
    </row>
    <row r="56" ht="21.95" customHeight="1" spans="1:13">
      <c r="A56" s="69" t="s">
        <v>119</v>
      </c>
      <c r="B56" s="70" t="s">
        <v>120</v>
      </c>
      <c r="C56" s="69" t="s">
        <v>121</v>
      </c>
      <c r="D56" s="159">
        <v>10000</v>
      </c>
      <c r="E56" s="160"/>
      <c r="F56" s="153"/>
      <c r="G56" s="59"/>
      <c r="H56" s="59"/>
      <c r="I56" s="59"/>
      <c r="J56" s="59"/>
      <c r="K56" s="59"/>
      <c r="L56" s="59"/>
      <c r="M56" s="59"/>
    </row>
    <row r="57" ht="21.95" customHeight="1" spans="1:13">
      <c r="A57" s="69" t="s">
        <v>122</v>
      </c>
      <c r="B57" s="70" t="s">
        <v>123</v>
      </c>
      <c r="C57" s="69" t="s">
        <v>124</v>
      </c>
      <c r="D57" s="194">
        <v>48.99</v>
      </c>
      <c r="E57" s="149"/>
      <c r="F57" s="150"/>
      <c r="G57" s="59"/>
      <c r="H57" s="59"/>
      <c r="I57" s="59"/>
      <c r="J57" s="59"/>
      <c r="K57" s="59"/>
      <c r="L57" s="59"/>
      <c r="M57" s="59"/>
    </row>
    <row r="58" ht="21.95" customHeight="1" spans="1:13">
      <c r="A58" s="69" t="s">
        <v>122</v>
      </c>
      <c r="B58" s="70" t="s">
        <v>125</v>
      </c>
      <c r="C58" s="69" t="s">
        <v>124</v>
      </c>
      <c r="D58" s="194">
        <v>46.05</v>
      </c>
      <c r="E58" s="149"/>
      <c r="F58" s="150"/>
      <c r="G58" s="59"/>
      <c r="H58" s="59"/>
      <c r="I58" s="59"/>
      <c r="J58" s="59"/>
      <c r="K58" s="59"/>
      <c r="L58" s="59"/>
      <c r="M58" s="59"/>
    </row>
    <row r="59" ht="21.95" customHeight="1" spans="1:13">
      <c r="A59" s="69" t="s">
        <v>126</v>
      </c>
      <c r="B59" s="70" t="s">
        <v>127</v>
      </c>
      <c r="C59" s="69" t="s">
        <v>128</v>
      </c>
      <c r="D59" s="161">
        <v>6</v>
      </c>
      <c r="E59" s="162"/>
      <c r="F59" s="150"/>
      <c r="G59" s="59"/>
      <c r="H59" s="59"/>
      <c r="I59" s="59"/>
      <c r="J59" s="59"/>
      <c r="K59" s="59"/>
      <c r="L59" s="59"/>
      <c r="M59" s="59"/>
    </row>
    <row r="60" ht="21.95" customHeight="1" spans="1:13">
      <c r="A60" s="69" t="s">
        <v>129</v>
      </c>
      <c r="B60" s="70" t="s">
        <v>130</v>
      </c>
      <c r="C60" s="69" t="s">
        <v>131</v>
      </c>
      <c r="D60" s="161">
        <f>SUM(D61)</f>
        <v>7.14</v>
      </c>
      <c r="E60" s="162"/>
      <c r="F60" s="150"/>
      <c r="G60" s="59"/>
      <c r="H60" s="59"/>
      <c r="I60" s="59"/>
      <c r="J60" s="59"/>
      <c r="K60" s="59"/>
      <c r="L60" s="59"/>
      <c r="M60" s="59"/>
    </row>
    <row r="61" ht="21.95" customHeight="1" spans="1:13">
      <c r="A61" s="69" t="s">
        <v>129</v>
      </c>
      <c r="B61" s="70" t="s">
        <v>132</v>
      </c>
      <c r="C61" s="69" t="s">
        <v>131</v>
      </c>
      <c r="D61" s="161">
        <f>ROUND(D51*D49/D56,2)</f>
        <v>7.14</v>
      </c>
      <c r="E61" s="162"/>
      <c r="F61" s="150"/>
      <c r="G61" s="59"/>
      <c r="H61" s="59"/>
      <c r="I61" s="59"/>
      <c r="J61" s="59"/>
      <c r="K61" s="59"/>
      <c r="L61" s="59"/>
      <c r="M61" s="59"/>
    </row>
    <row r="62" ht="21.95" customHeight="1" spans="1:13">
      <c r="A62" s="77" t="s">
        <v>81</v>
      </c>
      <c r="B62" s="77"/>
      <c r="C62" s="69" t="s">
        <v>133</v>
      </c>
      <c r="D62" s="192">
        <f>ROUND(((D57*D60)+(D58*D59))*D61/D49,2)</f>
        <v>372.52</v>
      </c>
      <c r="E62" s="135"/>
      <c r="F62" s="98"/>
      <c r="G62" s="59"/>
      <c r="H62" s="59"/>
      <c r="I62" s="59"/>
      <c r="J62" s="59"/>
      <c r="K62" s="59"/>
      <c r="L62" s="59"/>
      <c r="M62" s="59"/>
    </row>
    <row r="63" ht="8.1" customHeight="1" spans="1:13">
      <c r="A63" s="69"/>
      <c r="B63" s="70"/>
      <c r="C63" s="69"/>
      <c r="D63" s="70"/>
      <c r="E63" s="105"/>
      <c r="F63" s="59"/>
      <c r="G63" s="59"/>
      <c r="H63" s="59"/>
      <c r="I63" s="59"/>
      <c r="J63" s="59"/>
      <c r="K63" s="59"/>
      <c r="L63" s="59"/>
      <c r="M63" s="59"/>
    </row>
    <row r="64" ht="23.1" customHeight="1" spans="1:13">
      <c r="A64" s="88" t="s">
        <v>134</v>
      </c>
      <c r="B64" s="89" t="s">
        <v>135</v>
      </c>
      <c r="C64" s="90"/>
      <c r="D64" s="124"/>
      <c r="E64" s="125"/>
      <c r="F64" s="59"/>
      <c r="G64" s="59"/>
      <c r="H64" s="59"/>
      <c r="I64" s="59"/>
      <c r="J64" s="59"/>
      <c r="K64" s="59"/>
      <c r="L64" s="59"/>
      <c r="M64" s="59"/>
    </row>
    <row r="65" ht="6" customHeight="1" spans="1:13">
      <c r="A65" s="69"/>
      <c r="B65" s="70"/>
      <c r="C65" s="69"/>
      <c r="D65" s="70"/>
      <c r="E65" s="105"/>
      <c r="F65" s="59"/>
      <c r="G65" s="59"/>
      <c r="H65" s="59"/>
      <c r="I65" s="59"/>
      <c r="J65" s="59"/>
      <c r="K65" s="59"/>
      <c r="L65" s="59"/>
      <c r="M65" s="59"/>
    </row>
    <row r="66" ht="21.95" customHeight="1" spans="1:13">
      <c r="A66" s="69" t="s">
        <v>136</v>
      </c>
      <c r="B66" s="70" t="s">
        <v>137</v>
      </c>
      <c r="C66" s="69" t="s">
        <v>138</v>
      </c>
      <c r="D66" s="159">
        <v>4</v>
      </c>
      <c r="E66" s="160"/>
      <c r="F66" s="59"/>
      <c r="G66" s="59"/>
      <c r="H66" s="59"/>
      <c r="I66" s="59"/>
      <c r="J66" s="59"/>
      <c r="K66" s="59"/>
      <c r="L66" s="59"/>
      <c r="M66" s="59"/>
    </row>
    <row r="67" ht="21.95" customHeight="1" spans="1:13">
      <c r="A67" s="69" t="s">
        <v>139</v>
      </c>
      <c r="B67" s="70" t="s">
        <v>140</v>
      </c>
      <c r="C67" s="69" t="s">
        <v>141</v>
      </c>
      <c r="D67" s="163">
        <v>50000</v>
      </c>
      <c r="E67" s="164"/>
      <c r="F67" s="59"/>
      <c r="G67" s="59"/>
      <c r="H67" s="59"/>
      <c r="I67" s="59"/>
      <c r="J67" s="59"/>
      <c r="K67" s="59"/>
      <c r="L67" s="59"/>
      <c r="M67" s="59"/>
    </row>
    <row r="68" ht="21.95" customHeight="1" spans="1:13">
      <c r="A68" s="69" t="s">
        <v>142</v>
      </c>
      <c r="B68" s="70" t="s">
        <v>143</v>
      </c>
      <c r="C68" s="69" t="s">
        <v>144</v>
      </c>
      <c r="D68" s="163">
        <f>ROUND(D51*D49,2)</f>
        <v>71423.72</v>
      </c>
      <c r="E68" s="164"/>
      <c r="F68" s="59"/>
      <c r="G68" s="59"/>
      <c r="H68" s="59"/>
      <c r="I68" s="59"/>
      <c r="J68" s="59"/>
      <c r="K68" s="59"/>
      <c r="L68" s="59"/>
      <c r="M68" s="59"/>
    </row>
    <row r="69" ht="21.95" customHeight="1" spans="1:13">
      <c r="A69" s="69" t="s">
        <v>145</v>
      </c>
      <c r="B69" s="70" t="s">
        <v>146</v>
      </c>
      <c r="C69" s="69" t="s">
        <v>147</v>
      </c>
      <c r="D69" s="195">
        <v>625.33</v>
      </c>
      <c r="E69" s="166"/>
      <c r="F69" s="59"/>
      <c r="G69" s="59"/>
      <c r="H69" s="59"/>
      <c r="I69" s="59"/>
      <c r="J69" s="59"/>
      <c r="K69" s="59"/>
      <c r="L69" s="59"/>
      <c r="M69" s="59"/>
    </row>
    <row r="70" ht="21.95" customHeight="1" spans="1:13">
      <c r="A70" s="77" t="s">
        <v>81</v>
      </c>
      <c r="B70" s="77"/>
      <c r="C70" s="140" t="s">
        <v>148</v>
      </c>
      <c r="D70" s="192">
        <f>ROUND((D68/D67)*(D69*D66)/D49,2)</f>
        <v>297.76</v>
      </c>
      <c r="E70" s="168"/>
      <c r="F70" s="59"/>
      <c r="G70" s="59"/>
      <c r="H70" s="59"/>
      <c r="I70" s="59"/>
      <c r="J70" s="59"/>
      <c r="K70" s="59"/>
      <c r="L70" s="59"/>
      <c r="M70" s="59"/>
    </row>
    <row r="71" ht="6.95" customHeight="1" spans="1:13">
      <c r="A71" s="69"/>
      <c r="B71" s="70"/>
      <c r="C71" s="69"/>
      <c r="D71" s="70"/>
      <c r="E71" s="105"/>
      <c r="F71" s="59"/>
      <c r="G71" s="59"/>
      <c r="H71" s="59"/>
      <c r="I71" s="59"/>
      <c r="J71" s="59"/>
      <c r="K71" s="59"/>
      <c r="L71" s="59"/>
      <c r="M71" s="59"/>
    </row>
    <row r="72" ht="21.95" customHeight="1" spans="1:13">
      <c r="A72" s="88" t="s">
        <v>149</v>
      </c>
      <c r="B72" s="89" t="s">
        <v>150</v>
      </c>
      <c r="C72" s="90"/>
      <c r="D72" s="124"/>
      <c r="E72" s="125"/>
      <c r="F72" s="59"/>
      <c r="G72" s="59"/>
      <c r="H72" s="59"/>
      <c r="I72" s="59"/>
      <c r="J72" s="59"/>
      <c r="K72" s="59"/>
      <c r="L72" s="59"/>
      <c r="M72" s="59"/>
    </row>
    <row r="73" ht="6.95" customHeight="1" spans="1:13">
      <c r="A73" s="69"/>
      <c r="B73" s="70"/>
      <c r="C73" s="69"/>
      <c r="D73" s="70"/>
      <c r="E73" s="105"/>
      <c r="F73" s="59"/>
      <c r="G73" s="59"/>
      <c r="H73" s="59"/>
      <c r="I73" s="59"/>
      <c r="J73" s="59"/>
      <c r="K73" s="59"/>
      <c r="L73" s="59"/>
      <c r="M73" s="59"/>
    </row>
    <row r="74" ht="50.1" customHeight="1" spans="1:13">
      <c r="A74" s="69" t="s">
        <v>151</v>
      </c>
      <c r="B74" s="169" t="s">
        <v>152</v>
      </c>
      <c r="C74" s="69" t="s">
        <v>153</v>
      </c>
      <c r="D74" s="170">
        <v>2498.17</v>
      </c>
      <c r="E74" s="92"/>
      <c r="F74" s="171"/>
      <c r="G74" s="59"/>
      <c r="H74" s="59"/>
      <c r="I74" s="59"/>
      <c r="J74" s="59"/>
      <c r="K74" s="59"/>
      <c r="L74" s="59"/>
      <c r="M74" s="59"/>
    </row>
    <row r="75" ht="27.95" customHeight="1" spans="1:13">
      <c r="A75" s="69"/>
      <c r="B75" s="169" t="s">
        <v>154</v>
      </c>
      <c r="C75" s="69" t="s">
        <v>153</v>
      </c>
      <c r="D75" s="170">
        <f>(D74*0.2)</f>
        <v>499.634</v>
      </c>
      <c r="E75" s="92">
        <f>D74+D75</f>
        <v>2997.804</v>
      </c>
      <c r="F75" s="171">
        <f>E75*2</f>
        <v>5995.608</v>
      </c>
      <c r="G75" s="59"/>
      <c r="H75" s="59"/>
      <c r="I75" s="59"/>
      <c r="J75" s="59"/>
      <c r="K75" s="59"/>
      <c r="L75" s="59"/>
      <c r="M75" s="59"/>
    </row>
    <row r="76" ht="21" customHeight="1" spans="1:13">
      <c r="A76" s="69"/>
      <c r="B76" s="172" t="s">
        <v>155</v>
      </c>
      <c r="C76" s="69" t="s">
        <v>153</v>
      </c>
      <c r="D76" s="170">
        <f>(D74+D75)*2</f>
        <v>5995.608</v>
      </c>
      <c r="E76" s="92"/>
      <c r="F76" s="171"/>
      <c r="G76" s="59"/>
      <c r="H76" s="59"/>
      <c r="I76" s="59"/>
      <c r="J76" s="59"/>
      <c r="K76" s="59"/>
      <c r="L76" s="59"/>
      <c r="M76" s="59"/>
    </row>
    <row r="77" ht="51.95" customHeight="1" spans="1:13">
      <c r="A77" s="69" t="s">
        <v>156</v>
      </c>
      <c r="B77" s="169" t="s">
        <v>157</v>
      </c>
      <c r="C77" s="69" t="s">
        <v>158</v>
      </c>
      <c r="D77" s="170">
        <v>2498.17</v>
      </c>
      <c r="E77" s="92">
        <f>D77+D78+D79</f>
        <v>3547.4014</v>
      </c>
      <c r="F77" s="171">
        <f>E77*2</f>
        <v>7094.8028</v>
      </c>
      <c r="G77" s="59"/>
      <c r="H77" s="59"/>
      <c r="I77" s="59"/>
      <c r="J77" s="59"/>
      <c r="K77" s="59"/>
      <c r="L77" s="59"/>
      <c r="M77" s="59"/>
    </row>
    <row r="78" ht="24.95" customHeight="1" spans="1:13">
      <c r="A78" s="69"/>
      <c r="B78" s="169" t="s">
        <v>159</v>
      </c>
      <c r="C78" s="69" t="s">
        <v>158</v>
      </c>
      <c r="D78" s="170">
        <f>(D77*0.2)</f>
        <v>499.634</v>
      </c>
      <c r="E78" s="92"/>
      <c r="F78" s="171">
        <f>F75+F77</f>
        <v>13090.4108</v>
      </c>
      <c r="G78" s="59"/>
      <c r="H78" s="59"/>
      <c r="I78" s="59"/>
      <c r="J78" s="59"/>
      <c r="K78" s="59"/>
      <c r="L78" s="59"/>
      <c r="M78" s="59"/>
    </row>
    <row r="79" ht="21" customHeight="1" spans="1:13">
      <c r="A79" s="69"/>
      <c r="B79" s="169" t="s">
        <v>160</v>
      </c>
      <c r="C79" s="69" t="s">
        <v>158</v>
      </c>
      <c r="D79" s="170">
        <f>(D77*0.22)</f>
        <v>549.5974</v>
      </c>
      <c r="E79" s="173"/>
      <c r="F79" s="173"/>
      <c r="G79" s="59"/>
      <c r="H79" s="59"/>
      <c r="I79" s="59"/>
      <c r="J79" s="59"/>
      <c r="K79" s="59"/>
      <c r="L79" s="59"/>
      <c r="M79" s="59"/>
    </row>
    <row r="80" ht="21" customHeight="1" spans="1:13">
      <c r="A80" s="77"/>
      <c r="B80" s="172" t="s">
        <v>161</v>
      </c>
      <c r="C80" s="69" t="s">
        <v>158</v>
      </c>
      <c r="D80" s="170">
        <f>(D77+D78+D79)*2</f>
        <v>7094.8028</v>
      </c>
      <c r="E80" s="173"/>
      <c r="F80" s="173"/>
      <c r="G80" s="59"/>
      <c r="H80" s="59"/>
      <c r="I80" s="59"/>
      <c r="J80" s="59"/>
      <c r="K80" s="59"/>
      <c r="L80" s="59"/>
      <c r="M80" s="59"/>
    </row>
    <row r="81" ht="21" customHeight="1" spans="1:13">
      <c r="A81" s="77" t="s">
        <v>81</v>
      </c>
      <c r="B81" s="77"/>
      <c r="C81" s="69" t="s">
        <v>162</v>
      </c>
      <c r="D81" s="174">
        <f>D76+D80</f>
        <v>13090.4108</v>
      </c>
      <c r="E81" s="173"/>
      <c r="F81" s="173"/>
      <c r="G81" s="59"/>
      <c r="H81" s="59"/>
      <c r="I81" s="59"/>
      <c r="J81" s="59"/>
      <c r="K81" s="59"/>
      <c r="L81" s="59"/>
      <c r="M81" s="59"/>
    </row>
    <row r="82" ht="8.1" customHeight="1" spans="1:13">
      <c r="A82" s="69"/>
      <c r="B82" s="70"/>
      <c r="C82" s="69"/>
      <c r="D82" s="175"/>
      <c r="E82" s="173"/>
      <c r="F82" s="173"/>
      <c r="G82" s="59"/>
      <c r="H82" s="59"/>
      <c r="I82" s="59"/>
      <c r="J82" s="59"/>
      <c r="K82" s="59"/>
      <c r="L82" s="59"/>
      <c r="M82" s="59"/>
    </row>
    <row r="83" ht="21.95" customHeight="1" spans="1:13">
      <c r="A83" s="88" t="s">
        <v>163</v>
      </c>
      <c r="B83" s="157" t="s">
        <v>164</v>
      </c>
      <c r="C83" s="90"/>
      <c r="D83" s="124"/>
      <c r="E83" s="196"/>
      <c r="F83" s="59"/>
      <c r="G83" s="59"/>
      <c r="H83" s="59"/>
      <c r="I83" s="59"/>
      <c r="J83" s="59"/>
      <c r="K83" s="59"/>
      <c r="L83" s="59"/>
      <c r="M83" s="59"/>
    </row>
    <row r="84" ht="6.95" customHeight="1" spans="1:13">
      <c r="A84" s="69"/>
      <c r="B84" s="70"/>
      <c r="C84" s="69"/>
      <c r="D84" s="70"/>
      <c r="E84" s="105"/>
      <c r="F84" s="59"/>
      <c r="G84" s="59"/>
      <c r="H84" s="59"/>
      <c r="I84" s="59"/>
      <c r="J84" s="59"/>
      <c r="K84" s="59"/>
      <c r="L84" s="59"/>
      <c r="M84" s="59"/>
    </row>
    <row r="85" ht="36" customHeight="1" spans="1:13">
      <c r="A85" s="69" t="s">
        <v>165</v>
      </c>
      <c r="B85" s="169" t="s">
        <v>166</v>
      </c>
      <c r="C85" s="69" t="s">
        <v>153</v>
      </c>
      <c r="D85" s="170">
        <f>'EQUIP_TIPO B'!D114</f>
        <v>74.42</v>
      </c>
      <c r="E85" s="92"/>
      <c r="F85" s="173"/>
      <c r="G85" s="59"/>
      <c r="H85" s="59"/>
      <c r="I85" s="59"/>
      <c r="J85" s="59"/>
      <c r="K85" s="59"/>
      <c r="L85" s="59"/>
      <c r="M85" s="59"/>
    </row>
    <row r="86" ht="15" customHeight="1" spans="1:13">
      <c r="A86" s="77" t="s">
        <v>81</v>
      </c>
      <c r="B86" s="77"/>
      <c r="C86" s="69" t="s">
        <v>162</v>
      </c>
      <c r="D86" s="197">
        <f>SUM(D85:D85)</f>
        <v>74.42</v>
      </c>
      <c r="E86" s="173"/>
      <c r="F86" s="173"/>
      <c r="G86" s="59"/>
      <c r="H86" s="59"/>
      <c r="I86" s="59"/>
      <c r="J86" s="59"/>
      <c r="K86" s="59"/>
      <c r="L86" s="59"/>
      <c r="M86" s="59"/>
    </row>
    <row r="87" ht="8.1" customHeight="1" spans="1:13">
      <c r="A87" s="69"/>
      <c r="B87" s="70"/>
      <c r="C87" s="69"/>
      <c r="D87" s="175"/>
      <c r="E87" s="173"/>
      <c r="F87" s="173"/>
      <c r="G87" s="59"/>
      <c r="H87" s="59"/>
      <c r="I87" s="59"/>
      <c r="J87" s="59"/>
      <c r="K87" s="59"/>
      <c r="L87" s="59"/>
      <c r="M87" s="59"/>
    </row>
    <row r="88" ht="18.95" customHeight="1" spans="1:13">
      <c r="A88" s="88" t="s">
        <v>167</v>
      </c>
      <c r="B88" s="89" t="s">
        <v>168</v>
      </c>
      <c r="C88" s="90" t="s">
        <v>48</v>
      </c>
      <c r="D88" s="198">
        <f>ROUND(SUM(D29+D34+D42+D52+D62+D70+D81+D86),2)</f>
        <v>19649.74</v>
      </c>
      <c r="E88" s="92"/>
      <c r="F88" s="93"/>
      <c r="G88" s="94"/>
      <c r="H88" s="59"/>
      <c r="I88" s="59"/>
      <c r="J88" s="59"/>
      <c r="K88" s="59"/>
      <c r="L88" s="59"/>
      <c r="M88" s="59"/>
    </row>
    <row r="89" ht="9" customHeight="1" spans="1:13">
      <c r="A89" s="69"/>
      <c r="B89" s="71"/>
      <c r="C89" s="69"/>
      <c r="D89" s="95"/>
      <c r="E89" s="96"/>
      <c r="F89" s="59"/>
      <c r="G89" s="59"/>
      <c r="H89" s="59"/>
      <c r="I89" s="59"/>
      <c r="J89" s="59"/>
      <c r="K89" s="59"/>
      <c r="L89" s="59"/>
      <c r="M89" s="59"/>
    </row>
    <row r="90" ht="20.1" customHeight="1" spans="1:13">
      <c r="A90" s="88" t="s">
        <v>169</v>
      </c>
      <c r="B90" s="89" t="s">
        <v>170</v>
      </c>
      <c r="C90" s="90" t="s">
        <v>48</v>
      </c>
      <c r="D90" s="198">
        <f>ROUND(D88*1.2302,2)</f>
        <v>24173.11</v>
      </c>
      <c r="E90" s="97"/>
      <c r="F90" s="59"/>
      <c r="G90" s="98"/>
      <c r="H90" s="59"/>
      <c r="I90" s="59"/>
      <c r="J90" s="59"/>
      <c r="K90" s="59"/>
      <c r="L90" s="59"/>
      <c r="M90" s="59"/>
    </row>
    <row r="91" ht="9.95" customHeight="1" spans="1:13">
      <c r="A91" s="99"/>
      <c r="B91" s="100"/>
      <c r="C91" s="99"/>
      <c r="D91" s="101"/>
      <c r="E91" s="102"/>
      <c r="F91" s="59"/>
      <c r="G91" s="103"/>
      <c r="H91" s="59"/>
      <c r="I91" s="59"/>
      <c r="J91" s="59"/>
      <c r="K91" s="59"/>
      <c r="L91" s="59"/>
      <c r="M91" s="59"/>
    </row>
    <row r="92" s="108" customFormat="1" ht="32.1" customHeight="1" spans="1:13">
      <c r="A92" s="178" t="s">
        <v>171</v>
      </c>
      <c r="B92" s="178"/>
      <c r="C92" s="178"/>
      <c r="D92" s="178"/>
      <c r="E92" s="179"/>
      <c r="F92" s="180"/>
      <c r="G92" s="180"/>
      <c r="H92" s="180"/>
      <c r="I92" s="180"/>
      <c r="J92" s="180"/>
      <c r="K92" s="180"/>
      <c r="L92" s="180"/>
      <c r="M92" s="180"/>
    </row>
    <row r="93" s="108" customFormat="1" ht="57" customHeight="1" spans="1:13">
      <c r="A93" s="181" t="s">
        <v>172</v>
      </c>
      <c r="B93" s="182"/>
      <c r="C93" s="182"/>
      <c r="D93" s="182"/>
      <c r="E93" s="179"/>
      <c r="F93" s="180"/>
      <c r="G93" s="180"/>
      <c r="H93" s="180"/>
      <c r="I93" s="180"/>
      <c r="J93" s="180"/>
      <c r="K93" s="180"/>
      <c r="L93" s="180"/>
      <c r="M93" s="180"/>
    </row>
    <row r="94" s="108" customFormat="1" ht="24" customHeight="1" spans="1:13">
      <c r="A94" s="181" t="s">
        <v>173</v>
      </c>
      <c r="B94" s="182"/>
      <c r="C94" s="182"/>
      <c r="D94" s="182"/>
      <c r="E94" s="179"/>
      <c r="F94" s="180"/>
      <c r="G94" s="180"/>
      <c r="H94" s="180"/>
      <c r="I94" s="180"/>
      <c r="J94" s="180"/>
      <c r="K94" s="180"/>
      <c r="L94" s="180"/>
      <c r="M94" s="180"/>
    </row>
    <row r="95" s="108" customFormat="1" ht="24" customHeight="1" spans="1:13">
      <c r="A95" s="181" t="s">
        <v>174</v>
      </c>
      <c r="B95" s="182"/>
      <c r="C95" s="182"/>
      <c r="D95" s="182"/>
      <c r="E95" s="179"/>
      <c r="F95" s="180"/>
      <c r="G95" s="180"/>
      <c r="H95" s="180"/>
      <c r="I95" s="180"/>
      <c r="J95" s="180"/>
      <c r="K95" s="180"/>
      <c r="L95" s="180"/>
      <c r="M95" s="180"/>
    </row>
    <row r="96" s="108" customFormat="1" ht="24" customHeight="1" spans="1:13">
      <c r="A96" s="181" t="s">
        <v>175</v>
      </c>
      <c r="B96" s="182"/>
      <c r="C96" s="182"/>
      <c r="D96" s="182"/>
      <c r="E96" s="179"/>
      <c r="F96" s="180"/>
      <c r="G96" s="180"/>
      <c r="H96" s="180"/>
      <c r="I96" s="180"/>
      <c r="J96" s="180"/>
      <c r="K96" s="180"/>
      <c r="L96" s="180"/>
      <c r="M96" s="180"/>
    </row>
    <row r="97" s="108" customFormat="1" ht="24" customHeight="1" spans="1:13">
      <c r="A97" s="181" t="s">
        <v>176</v>
      </c>
      <c r="B97" s="182"/>
      <c r="C97" s="182"/>
      <c r="D97" s="182"/>
      <c r="E97" s="179"/>
      <c r="F97" s="180"/>
      <c r="G97" s="180"/>
      <c r="H97" s="180"/>
      <c r="I97" s="180"/>
      <c r="J97" s="180"/>
      <c r="K97" s="180"/>
      <c r="L97" s="180"/>
      <c r="M97" s="180"/>
    </row>
    <row r="98" s="108" customFormat="1" ht="48.95" customHeight="1" spans="1:13">
      <c r="A98" s="181" t="s">
        <v>177</v>
      </c>
      <c r="B98" s="182"/>
      <c r="C98" s="182"/>
      <c r="D98" s="182"/>
      <c r="E98" s="179"/>
      <c r="F98" s="180"/>
      <c r="G98" s="180"/>
      <c r="H98" s="180"/>
      <c r="I98" s="180"/>
      <c r="J98" s="180"/>
      <c r="K98" s="180"/>
      <c r="L98" s="180"/>
      <c r="M98" s="180"/>
    </row>
    <row r="99" s="108" customFormat="1" ht="30" customHeight="1" spans="1:13">
      <c r="A99" s="181" t="s">
        <v>176</v>
      </c>
      <c r="B99" s="182"/>
      <c r="C99" s="182"/>
      <c r="D99" s="182"/>
      <c r="E99" s="179"/>
      <c r="F99" s="180"/>
      <c r="G99" s="180"/>
      <c r="H99" s="180"/>
      <c r="I99" s="180"/>
      <c r="J99" s="180"/>
      <c r="K99" s="180"/>
      <c r="L99" s="180"/>
      <c r="M99" s="180"/>
    </row>
    <row r="100" s="108" customFormat="1" ht="44.1" customHeight="1" spans="1:13">
      <c r="A100" s="181" t="s">
        <v>178</v>
      </c>
      <c r="B100" s="182"/>
      <c r="C100" s="182"/>
      <c r="D100" s="182"/>
      <c r="F100" s="180"/>
      <c r="G100" s="180"/>
      <c r="H100" s="180"/>
      <c r="I100" s="180"/>
      <c r="J100" s="180"/>
      <c r="K100" s="180"/>
      <c r="L100" s="180"/>
      <c r="M100" s="180"/>
    </row>
    <row r="101" spans="6:13">
      <c r="F101" s="59"/>
      <c r="G101" s="59"/>
      <c r="H101" s="59"/>
      <c r="I101" s="59"/>
      <c r="J101" s="59"/>
      <c r="K101" s="59"/>
      <c r="L101" s="59"/>
      <c r="M101" s="59"/>
    </row>
    <row r="102" spans="6:13">
      <c r="F102" s="59"/>
      <c r="G102" s="59"/>
      <c r="H102" s="59"/>
      <c r="I102" s="59"/>
      <c r="J102" s="59"/>
      <c r="K102" s="59"/>
      <c r="L102" s="59"/>
      <c r="M102" s="59"/>
    </row>
  </sheetData>
  <mergeCells count="32">
    <mergeCell ref="A1:D1"/>
    <mergeCell ref="A2:D2"/>
    <mergeCell ref="A3:D3"/>
    <mergeCell ref="A4:D4"/>
    <mergeCell ref="A5:D5"/>
    <mergeCell ref="A6:D6"/>
    <mergeCell ref="A7:D7"/>
    <mergeCell ref="A23:D23"/>
    <mergeCell ref="A29:B29"/>
    <mergeCell ref="A34:B34"/>
    <mergeCell ref="A42:B42"/>
    <mergeCell ref="A44:D44"/>
    <mergeCell ref="A52:B52"/>
    <mergeCell ref="A62:B62"/>
    <mergeCell ref="A70:B70"/>
    <mergeCell ref="A81:B81"/>
    <mergeCell ref="A86:B86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38:A39"/>
    <mergeCell ref="A74:A76"/>
    <mergeCell ref="A77:A79"/>
    <mergeCell ref="C38:C39"/>
    <mergeCell ref="A8:B22"/>
    <mergeCell ref="C8:D22"/>
  </mergeCells>
  <printOptions horizontalCentered="1"/>
  <pageMargins left="0.251388888888889" right="0.251388888888889" top="0.751388888888889" bottom="0.751388888888889" header="0.298611111111111" footer="0.298611111111111"/>
  <pageSetup paperSize="9" scale="83" orientation="portrait"/>
  <headerFooter/>
  <rowBreaks count="4" manualBreakCount="4">
    <brk id="42" max="3" man="1"/>
    <brk id="70" max="3" man="1"/>
    <brk id="91" max="3" man="1"/>
    <brk id="10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6"/>
  <sheetViews>
    <sheetView view="pageBreakPreview" zoomScale="85" zoomScaleNormal="68" workbookViewId="0">
      <selection activeCell="F2" sqref="F2"/>
    </sheetView>
  </sheetViews>
  <sheetFormatPr defaultColWidth="9.14285714285714" defaultRowHeight="15.75"/>
  <cols>
    <col min="1" max="1" width="12.8571428571429" style="50" customWidth="1"/>
    <col min="2" max="2" width="56.2857142857143" style="50" customWidth="1"/>
    <col min="3" max="3" width="22.2857142857143" style="50" customWidth="1"/>
    <col min="4" max="4" width="31.5714285714286" style="50" customWidth="1"/>
    <col min="5" max="5" width="20.7142857142857" style="50" customWidth="1"/>
    <col min="6" max="6" width="17.1428571428571" style="52" customWidth="1"/>
    <col min="7" max="7" width="11.5714285714286" style="52" customWidth="1"/>
    <col min="8" max="13" width="9.14285714285714" style="52"/>
    <col min="14" max="16382" width="9.14285714285714" style="50"/>
  </cols>
  <sheetData>
    <row r="1" s="50" customFormat="1" ht="54" customHeight="1" spans="1:13">
      <c r="A1" s="53"/>
      <c r="B1" s="54"/>
      <c r="C1" s="54"/>
      <c r="D1" s="55"/>
      <c r="E1" s="109"/>
      <c r="F1" s="52"/>
      <c r="G1" s="52"/>
      <c r="H1" s="52"/>
      <c r="I1" s="52"/>
      <c r="J1" s="52"/>
      <c r="K1" s="52"/>
      <c r="L1" s="52"/>
      <c r="M1" s="52"/>
    </row>
    <row r="2" s="50" customFormat="1" ht="36" customHeight="1" spans="1:13">
      <c r="A2" s="110" t="s">
        <v>0</v>
      </c>
      <c r="B2" s="111"/>
      <c r="C2" s="111"/>
      <c r="D2" s="112"/>
      <c r="E2" s="113"/>
      <c r="F2" s="59"/>
      <c r="G2" s="59"/>
      <c r="H2" s="59"/>
      <c r="I2" s="59"/>
      <c r="J2" s="59"/>
      <c r="K2" s="59"/>
      <c r="L2" s="59"/>
      <c r="M2" s="59"/>
    </row>
    <row r="3" s="50" customFormat="1" ht="98.1" customHeight="1" spans="1:13">
      <c r="A3" s="114" t="s">
        <v>2</v>
      </c>
      <c r="B3" s="115"/>
      <c r="C3" s="115"/>
      <c r="D3" s="115"/>
      <c r="E3" s="116"/>
      <c r="F3" s="59"/>
      <c r="G3" s="59"/>
      <c r="H3" s="59"/>
      <c r="I3" s="59"/>
      <c r="J3" s="59"/>
      <c r="K3" s="59"/>
      <c r="L3" s="59"/>
      <c r="M3" s="59"/>
    </row>
    <row r="4" s="50" customFormat="1" ht="21.95" customHeight="1" spans="1:13">
      <c r="A4" s="62" t="s">
        <v>64</v>
      </c>
      <c r="B4" s="62"/>
      <c r="C4" s="62"/>
      <c r="D4" s="62"/>
      <c r="E4" s="117"/>
      <c r="F4" s="59"/>
      <c r="G4" s="59"/>
      <c r="H4" s="59"/>
      <c r="I4" s="59"/>
      <c r="J4" s="59"/>
      <c r="K4" s="59"/>
      <c r="L4" s="59"/>
      <c r="M4" s="59"/>
    </row>
    <row r="5" s="50" customFormat="1" ht="21.95" customHeight="1" spans="1:13">
      <c r="A5" s="63" t="s">
        <v>179</v>
      </c>
      <c r="B5" s="63"/>
      <c r="C5" s="63"/>
      <c r="D5" s="63"/>
      <c r="E5" s="118"/>
      <c r="F5" s="59"/>
      <c r="G5" s="59"/>
      <c r="H5" s="59"/>
      <c r="I5" s="59"/>
      <c r="J5" s="59"/>
      <c r="K5" s="59"/>
      <c r="L5" s="59"/>
      <c r="M5" s="59"/>
    </row>
    <row r="6" s="50" customFormat="1" ht="26.1" customHeight="1" spans="1:13">
      <c r="A6" s="64" t="s">
        <v>180</v>
      </c>
      <c r="B6" s="64"/>
      <c r="C6" s="64"/>
      <c r="D6" s="64"/>
      <c r="E6" s="119"/>
      <c r="F6" s="59"/>
      <c r="G6" s="59"/>
      <c r="H6" s="59"/>
      <c r="I6" s="59"/>
      <c r="J6" s="59"/>
      <c r="K6" s="59"/>
      <c r="L6" s="59"/>
      <c r="M6" s="59"/>
    </row>
    <row r="7" s="50" customFormat="1" ht="26.1" customHeight="1" spans="1:13">
      <c r="A7" s="65" t="s">
        <v>181</v>
      </c>
      <c r="B7" s="65"/>
      <c r="C7" s="65"/>
      <c r="D7" s="65"/>
      <c r="E7" s="123"/>
      <c r="F7" s="59"/>
      <c r="G7" s="59"/>
      <c r="H7" s="59"/>
      <c r="I7" s="59"/>
      <c r="J7" s="59"/>
      <c r="K7" s="59"/>
      <c r="L7" s="59"/>
      <c r="M7" s="59"/>
    </row>
    <row r="8" s="50" customFormat="1" ht="6.95" customHeight="1" spans="1:13">
      <c r="A8" s="66"/>
      <c r="B8" s="66"/>
      <c r="C8" s="66"/>
      <c r="D8" s="66"/>
      <c r="E8" s="125"/>
      <c r="F8" s="59"/>
      <c r="G8" s="59"/>
      <c r="H8" s="59"/>
      <c r="I8" s="59"/>
      <c r="J8" s="59"/>
      <c r="K8" s="59"/>
      <c r="L8" s="59"/>
      <c r="M8" s="59"/>
    </row>
    <row r="9" s="50" customFormat="1" ht="24.95" customHeight="1" spans="1:13">
      <c r="A9" s="67" t="s">
        <v>182</v>
      </c>
      <c r="B9" s="67"/>
      <c r="C9" s="67"/>
      <c r="D9" s="67"/>
      <c r="E9" s="183"/>
      <c r="F9" s="59"/>
      <c r="G9" s="59"/>
      <c r="H9" s="59"/>
      <c r="I9" s="59"/>
      <c r="J9" s="59"/>
      <c r="K9" s="59"/>
      <c r="L9" s="59"/>
      <c r="M9" s="59"/>
    </row>
    <row r="10" s="50" customFormat="1" ht="21.95" customHeight="1" spans="1:13">
      <c r="A10" s="68" t="s">
        <v>183</v>
      </c>
      <c r="B10" s="68"/>
      <c r="C10" s="68"/>
      <c r="D10" s="68"/>
      <c r="E10" s="125"/>
      <c r="F10" s="59"/>
      <c r="G10" s="59"/>
      <c r="H10" s="59"/>
      <c r="I10" s="59"/>
      <c r="J10" s="59"/>
      <c r="K10" s="59"/>
      <c r="L10" s="59"/>
      <c r="M10" s="59"/>
    </row>
    <row r="11" s="50" customFormat="1" ht="6" customHeight="1" spans="1:13">
      <c r="A11" s="69"/>
      <c r="B11" s="70"/>
      <c r="C11" s="69"/>
      <c r="D11" s="70"/>
      <c r="E11" s="105"/>
      <c r="F11" s="59"/>
      <c r="G11" s="59"/>
      <c r="H11" s="59"/>
      <c r="I11" s="59"/>
      <c r="J11" s="59"/>
      <c r="K11" s="59"/>
      <c r="L11" s="59"/>
      <c r="M11" s="59"/>
    </row>
    <row r="12" s="50" customFormat="1" ht="21.95" customHeight="1" spans="1:13">
      <c r="A12" s="69" t="s">
        <v>72</v>
      </c>
      <c r="B12" s="71" t="s">
        <v>73</v>
      </c>
      <c r="C12" s="69" t="s">
        <v>74</v>
      </c>
      <c r="D12" s="72">
        <v>1207.23</v>
      </c>
      <c r="E12" s="126"/>
      <c r="F12" s="127"/>
      <c r="G12" s="98"/>
      <c r="H12" s="128"/>
      <c r="I12" s="59"/>
      <c r="J12" s="59"/>
      <c r="K12" s="59"/>
      <c r="L12" s="59"/>
      <c r="M12" s="59"/>
    </row>
    <row r="13" s="50" customFormat="1" ht="21.95" customHeight="1" spans="1:13">
      <c r="A13" s="69" t="s">
        <v>75</v>
      </c>
      <c r="B13" s="71" t="s">
        <v>76</v>
      </c>
      <c r="C13" s="69" t="s">
        <v>77</v>
      </c>
      <c r="D13" s="73">
        <f>12*10</f>
        <v>120</v>
      </c>
      <c r="E13" s="130"/>
      <c r="F13" s="59"/>
      <c r="G13" s="98"/>
      <c r="H13" s="128"/>
      <c r="I13" s="59"/>
      <c r="J13" s="59"/>
      <c r="K13" s="59"/>
      <c r="L13" s="59"/>
      <c r="M13" s="59"/>
    </row>
    <row r="14" s="50" customFormat="1" ht="21.95" customHeight="1" spans="1:13">
      <c r="A14" s="69" t="s">
        <v>78</v>
      </c>
      <c r="B14" s="74" t="s">
        <v>184</v>
      </c>
      <c r="C14" s="69" t="s">
        <v>80</v>
      </c>
      <c r="D14" s="75">
        <v>0.1</v>
      </c>
      <c r="E14" s="131"/>
      <c r="F14" s="59"/>
      <c r="G14" s="128"/>
      <c r="H14" s="59"/>
      <c r="I14" s="59"/>
      <c r="J14" s="59"/>
      <c r="K14" s="59"/>
      <c r="L14" s="59"/>
      <c r="M14" s="59"/>
    </row>
    <row r="15" s="50" customFormat="1" ht="21.95" customHeight="1" spans="1:13">
      <c r="A15" s="69" t="s">
        <v>185</v>
      </c>
      <c r="B15" s="71" t="s">
        <v>186</v>
      </c>
      <c r="C15" s="69" t="s">
        <v>187</v>
      </c>
      <c r="D15" s="76">
        <v>12</v>
      </c>
      <c r="E15" s="184"/>
      <c r="F15" s="59"/>
      <c r="G15" s="59"/>
      <c r="H15" s="59"/>
      <c r="I15" s="59"/>
      <c r="J15" s="59"/>
      <c r="K15" s="59"/>
      <c r="L15" s="59"/>
      <c r="M15" s="59"/>
    </row>
    <row r="16" s="50" customFormat="1" ht="21.95" customHeight="1" spans="1:13">
      <c r="A16" s="77" t="s">
        <v>188</v>
      </c>
      <c r="B16" s="77"/>
      <c r="C16" s="77"/>
      <c r="D16" s="87">
        <f>ROUND((D12/D13)-((D12*D14)/D13),2)</f>
        <v>9.05</v>
      </c>
      <c r="E16" s="185"/>
      <c r="F16" s="133"/>
      <c r="G16" s="94"/>
      <c r="H16" s="98"/>
      <c r="I16" s="59"/>
      <c r="J16" s="59"/>
      <c r="K16" s="59"/>
      <c r="L16" s="59"/>
      <c r="M16" s="59"/>
    </row>
    <row r="17" s="50" customFormat="1" ht="6.95" customHeight="1" spans="1:13">
      <c r="A17" s="69"/>
      <c r="B17" s="70"/>
      <c r="C17" s="69"/>
      <c r="D17" s="70"/>
      <c r="E17" s="105"/>
      <c r="F17" s="59"/>
      <c r="G17" s="128"/>
      <c r="H17" s="59"/>
      <c r="I17" s="59"/>
      <c r="J17" s="59"/>
      <c r="K17" s="59"/>
      <c r="L17" s="59"/>
      <c r="M17" s="59"/>
    </row>
    <row r="18" s="50" customFormat="1" ht="21.95" customHeight="1" spans="1:13">
      <c r="A18" s="79" t="s">
        <v>84</v>
      </c>
      <c r="B18" s="79"/>
      <c r="C18" s="79"/>
      <c r="D18" s="79"/>
      <c r="E18" s="186"/>
      <c r="F18" s="59"/>
      <c r="G18" s="59"/>
      <c r="H18" s="59"/>
      <c r="I18" s="59"/>
      <c r="J18" s="59"/>
      <c r="K18" s="59"/>
      <c r="L18" s="59"/>
      <c r="M18" s="59"/>
    </row>
    <row r="19" s="50" customFormat="1" ht="8.1" customHeight="1" spans="1:13">
      <c r="A19" s="69"/>
      <c r="B19" s="70"/>
      <c r="C19" s="69"/>
      <c r="D19" s="70"/>
      <c r="E19" s="105"/>
      <c r="F19" s="59"/>
      <c r="G19" s="98"/>
      <c r="H19" s="59"/>
      <c r="I19" s="59"/>
      <c r="J19" s="59"/>
      <c r="K19" s="59"/>
      <c r="L19" s="59"/>
      <c r="M19" s="59"/>
    </row>
    <row r="20" s="50" customFormat="1" ht="21.95" customHeight="1" spans="1:13">
      <c r="A20" s="69" t="s">
        <v>189</v>
      </c>
      <c r="B20" s="70" t="s">
        <v>86</v>
      </c>
      <c r="C20" s="69" t="s">
        <v>190</v>
      </c>
      <c r="D20" s="80">
        <f>D14/D15</f>
        <v>0.00833333333333333</v>
      </c>
      <c r="E20" s="134"/>
      <c r="F20" s="59"/>
      <c r="G20" s="98"/>
      <c r="H20" s="59"/>
      <c r="I20" s="59"/>
      <c r="J20" s="59"/>
      <c r="K20" s="59"/>
      <c r="L20" s="59"/>
      <c r="M20" s="59"/>
    </row>
    <row r="21" s="50" customFormat="1" ht="21.95" customHeight="1" spans="1:13">
      <c r="A21" s="69" t="s">
        <v>191</v>
      </c>
      <c r="B21" s="70" t="s">
        <v>192</v>
      </c>
      <c r="C21" s="69" t="s">
        <v>193</v>
      </c>
      <c r="D21" s="81">
        <f>ROUND(D12*D20,2)</f>
        <v>10.06</v>
      </c>
      <c r="E21" s="135"/>
      <c r="F21" s="59"/>
      <c r="G21" s="59"/>
      <c r="H21" s="59"/>
      <c r="I21" s="59"/>
      <c r="J21" s="59"/>
      <c r="K21" s="59"/>
      <c r="L21" s="59"/>
      <c r="M21" s="59"/>
    </row>
    <row r="22" s="51" customFormat="1" ht="21.95" customHeight="1" spans="1:13">
      <c r="A22" s="82" t="s">
        <v>81</v>
      </c>
      <c r="B22" s="82"/>
      <c r="C22" s="82"/>
      <c r="D22" s="83">
        <f>SUM(D16+D21)</f>
        <v>19.11</v>
      </c>
      <c r="E22" s="186"/>
      <c r="F22" s="84"/>
      <c r="G22" s="84"/>
      <c r="H22" s="84"/>
      <c r="I22" s="84"/>
      <c r="J22" s="84"/>
      <c r="K22" s="84"/>
      <c r="L22" s="84"/>
      <c r="M22" s="84"/>
    </row>
    <row r="23" s="51" customFormat="1" ht="6" customHeight="1" spans="1:13">
      <c r="A23" s="85"/>
      <c r="B23" s="85"/>
      <c r="C23" s="85"/>
      <c r="D23" s="85"/>
      <c r="E23" s="186"/>
      <c r="F23" s="84"/>
      <c r="G23" s="84"/>
      <c r="H23" s="84"/>
      <c r="I23" s="84"/>
      <c r="J23" s="84"/>
      <c r="K23" s="84"/>
      <c r="L23" s="84"/>
      <c r="M23" s="84"/>
    </row>
    <row r="24" s="50" customFormat="1" ht="24.95" customHeight="1" spans="1:13">
      <c r="A24" s="67" t="s">
        <v>194</v>
      </c>
      <c r="B24" s="67"/>
      <c r="C24" s="67"/>
      <c r="D24" s="67"/>
      <c r="E24" s="125"/>
      <c r="F24" s="59"/>
      <c r="G24" s="59"/>
      <c r="H24" s="59"/>
      <c r="I24" s="59"/>
      <c r="J24" s="59"/>
      <c r="K24" s="59"/>
      <c r="L24" s="59"/>
      <c r="M24" s="59"/>
    </row>
    <row r="25" s="50" customFormat="1" ht="21.95" customHeight="1" spans="1:13">
      <c r="A25" s="68" t="s">
        <v>183</v>
      </c>
      <c r="B25" s="68"/>
      <c r="C25" s="68"/>
      <c r="D25" s="68"/>
      <c r="E25" s="125"/>
      <c r="F25" s="59"/>
      <c r="G25" s="59"/>
      <c r="H25" s="59"/>
      <c r="I25" s="59"/>
      <c r="J25" s="59"/>
      <c r="K25" s="59"/>
      <c r="L25" s="59"/>
      <c r="M25" s="59"/>
    </row>
    <row r="26" s="50" customFormat="1" ht="6" customHeight="1" spans="1:13">
      <c r="A26" s="69"/>
      <c r="B26" s="70"/>
      <c r="C26" s="69"/>
      <c r="D26" s="70"/>
      <c r="E26" s="105"/>
      <c r="F26" s="59"/>
      <c r="G26" s="59"/>
      <c r="H26" s="59"/>
      <c r="I26" s="59"/>
      <c r="J26" s="59"/>
      <c r="K26" s="59"/>
      <c r="L26" s="59"/>
      <c r="M26" s="59"/>
    </row>
    <row r="27" s="50" customFormat="1" ht="21" customHeight="1" spans="1:13">
      <c r="A27" s="69" t="s">
        <v>85</v>
      </c>
      <c r="B27" s="71" t="s">
        <v>73</v>
      </c>
      <c r="C27" s="69" t="s">
        <v>87</v>
      </c>
      <c r="D27" s="72">
        <v>208.64</v>
      </c>
      <c r="E27" s="126"/>
      <c r="F27" s="127"/>
      <c r="G27" s="98"/>
      <c r="H27" s="128"/>
      <c r="I27" s="59"/>
      <c r="J27" s="59"/>
      <c r="K27" s="59"/>
      <c r="L27" s="59"/>
      <c r="M27" s="59"/>
    </row>
    <row r="28" s="50" customFormat="1" ht="21" customHeight="1" spans="1:13">
      <c r="A28" s="69" t="s">
        <v>195</v>
      </c>
      <c r="B28" s="71" t="s">
        <v>76</v>
      </c>
      <c r="C28" s="69" t="s">
        <v>196</v>
      </c>
      <c r="D28" s="73">
        <f>12*7</f>
        <v>84</v>
      </c>
      <c r="E28" s="130"/>
      <c r="F28" s="59"/>
      <c r="G28" s="98"/>
      <c r="H28" s="128"/>
      <c r="I28" s="59"/>
      <c r="J28" s="59"/>
      <c r="K28" s="59"/>
      <c r="L28" s="59"/>
      <c r="M28" s="59"/>
    </row>
    <row r="29" s="50" customFormat="1" ht="21" customHeight="1" spans="1:13">
      <c r="A29" s="69" t="s">
        <v>197</v>
      </c>
      <c r="B29" s="74" t="s">
        <v>184</v>
      </c>
      <c r="C29" s="69" t="s">
        <v>198</v>
      </c>
      <c r="D29" s="75">
        <v>0.1</v>
      </c>
      <c r="E29" s="131"/>
      <c r="F29" s="59"/>
      <c r="G29" s="128"/>
      <c r="H29" s="59"/>
      <c r="I29" s="59"/>
      <c r="J29" s="59"/>
      <c r="K29" s="59"/>
      <c r="L29" s="59"/>
      <c r="M29" s="59"/>
    </row>
    <row r="30" s="50" customFormat="1" ht="21" customHeight="1" spans="1:13">
      <c r="A30" s="69" t="s">
        <v>199</v>
      </c>
      <c r="B30" s="71" t="s">
        <v>186</v>
      </c>
      <c r="C30" s="69" t="s">
        <v>200</v>
      </c>
      <c r="D30" s="76">
        <v>12</v>
      </c>
      <c r="E30" s="184"/>
      <c r="F30" s="59"/>
      <c r="G30" s="59"/>
      <c r="H30" s="59"/>
      <c r="I30" s="59"/>
      <c r="J30" s="59"/>
      <c r="K30" s="59"/>
      <c r="L30" s="59"/>
      <c r="M30" s="59"/>
    </row>
    <row r="31" s="50" customFormat="1" ht="20.1" customHeight="1" spans="1:13">
      <c r="A31" s="77" t="s">
        <v>188</v>
      </c>
      <c r="B31" s="77"/>
      <c r="C31" s="77"/>
      <c r="D31" s="78">
        <f>ROUND((D27/D28)-((D27*D29)/D28),2)</f>
        <v>2.24</v>
      </c>
      <c r="E31" s="185"/>
      <c r="F31" s="133"/>
      <c r="G31" s="94"/>
      <c r="H31" s="98"/>
      <c r="I31" s="59"/>
      <c r="J31" s="59"/>
      <c r="K31" s="59"/>
      <c r="L31" s="59"/>
      <c r="M31" s="59"/>
    </row>
    <row r="32" s="50" customFormat="1" ht="6.95" customHeight="1" spans="1:13">
      <c r="A32" s="69"/>
      <c r="B32" s="70"/>
      <c r="C32" s="69"/>
      <c r="D32" s="70"/>
      <c r="E32" s="105"/>
      <c r="F32" s="59"/>
      <c r="G32" s="128"/>
      <c r="H32" s="59"/>
      <c r="I32" s="59"/>
      <c r="J32" s="59"/>
      <c r="K32" s="59"/>
      <c r="L32" s="59"/>
      <c r="M32" s="59"/>
    </row>
    <row r="33" s="50" customFormat="1" ht="21.95" customHeight="1" spans="1:13">
      <c r="A33" s="79" t="s">
        <v>84</v>
      </c>
      <c r="B33" s="79"/>
      <c r="C33" s="79"/>
      <c r="D33" s="79"/>
      <c r="E33" s="186"/>
      <c r="F33" s="59"/>
      <c r="G33" s="59"/>
      <c r="H33" s="59"/>
      <c r="I33" s="59"/>
      <c r="J33" s="59"/>
      <c r="K33" s="59"/>
      <c r="L33" s="59"/>
      <c r="M33" s="59"/>
    </row>
    <row r="34" s="50" customFormat="1" ht="8.1" customHeight="1" spans="1:13">
      <c r="A34" s="69"/>
      <c r="B34" s="70"/>
      <c r="C34" s="69"/>
      <c r="D34" s="70"/>
      <c r="E34" s="105"/>
      <c r="F34" s="59"/>
      <c r="G34" s="98"/>
      <c r="H34" s="59"/>
      <c r="I34" s="59"/>
      <c r="J34" s="59"/>
      <c r="K34" s="59"/>
      <c r="L34" s="59"/>
      <c r="M34" s="59"/>
    </row>
    <row r="35" s="50" customFormat="1" ht="18.95" customHeight="1" spans="1:13">
      <c r="A35" s="69" t="s">
        <v>201</v>
      </c>
      <c r="B35" s="70" t="s">
        <v>86</v>
      </c>
      <c r="C35" s="69" t="s">
        <v>202</v>
      </c>
      <c r="D35" s="80">
        <f>D29/D30</f>
        <v>0.00833333333333333</v>
      </c>
      <c r="E35" s="134"/>
      <c r="F35" s="59"/>
      <c r="G35" s="98"/>
      <c r="H35" s="59"/>
      <c r="I35" s="59"/>
      <c r="J35" s="59"/>
      <c r="K35" s="59"/>
      <c r="L35" s="59"/>
      <c r="M35" s="59"/>
    </row>
    <row r="36" s="50" customFormat="1" ht="18.95" customHeight="1" spans="1:13">
      <c r="A36" s="69" t="s">
        <v>203</v>
      </c>
      <c r="B36" s="70" t="s">
        <v>192</v>
      </c>
      <c r="C36" s="69" t="s">
        <v>204</v>
      </c>
      <c r="D36" s="81">
        <f>ROUND(D27*D35,2)</f>
        <v>1.74</v>
      </c>
      <c r="E36" s="135"/>
      <c r="F36" s="59"/>
      <c r="G36" s="59"/>
      <c r="H36" s="59"/>
      <c r="I36" s="59"/>
      <c r="J36" s="59"/>
      <c r="K36" s="59"/>
      <c r="L36" s="59"/>
      <c r="M36" s="59"/>
    </row>
    <row r="37" s="51" customFormat="1" ht="21.95" customHeight="1" spans="1:13">
      <c r="A37" s="82" t="s">
        <v>81</v>
      </c>
      <c r="B37" s="82"/>
      <c r="C37" s="82"/>
      <c r="D37" s="83">
        <f>SUM(D31+D36)</f>
        <v>3.98</v>
      </c>
      <c r="E37" s="186"/>
      <c r="F37" s="84"/>
      <c r="G37" s="84"/>
      <c r="H37" s="84"/>
      <c r="I37" s="84"/>
      <c r="J37" s="84"/>
      <c r="K37" s="84"/>
      <c r="L37" s="84"/>
      <c r="M37" s="84"/>
    </row>
    <row r="38" s="51" customFormat="1" ht="6" customHeight="1" spans="1:13">
      <c r="A38" s="85"/>
      <c r="B38" s="85"/>
      <c r="C38" s="85"/>
      <c r="D38" s="85"/>
      <c r="E38" s="186"/>
      <c r="F38" s="84"/>
      <c r="G38" s="84"/>
      <c r="H38" s="84"/>
      <c r="I38" s="84"/>
      <c r="J38" s="84"/>
      <c r="K38" s="84"/>
      <c r="L38" s="84"/>
      <c r="M38" s="84"/>
    </row>
    <row r="39" s="50" customFormat="1" ht="24.95" customHeight="1" spans="1:13">
      <c r="A39" s="67" t="s">
        <v>205</v>
      </c>
      <c r="B39" s="67"/>
      <c r="C39" s="67"/>
      <c r="D39" s="67"/>
      <c r="E39" s="125"/>
      <c r="F39" s="59"/>
      <c r="G39" s="59"/>
      <c r="H39" s="59"/>
      <c r="I39" s="59"/>
      <c r="J39" s="59"/>
      <c r="K39" s="59"/>
      <c r="L39" s="59"/>
      <c r="M39" s="59"/>
    </row>
    <row r="40" s="50" customFormat="1" ht="21.95" customHeight="1" spans="1:13">
      <c r="A40" s="68" t="s">
        <v>183</v>
      </c>
      <c r="B40" s="68"/>
      <c r="C40" s="68"/>
      <c r="D40" s="68"/>
      <c r="E40" s="125"/>
      <c r="F40" s="59"/>
      <c r="G40" s="59"/>
      <c r="H40" s="59"/>
      <c r="I40" s="59"/>
      <c r="J40" s="59"/>
      <c r="K40" s="59"/>
      <c r="L40" s="59"/>
      <c r="M40" s="59"/>
    </row>
    <row r="41" s="50" customFormat="1" ht="6" customHeight="1" spans="1:13">
      <c r="A41" s="69"/>
      <c r="B41" s="70"/>
      <c r="C41" s="69"/>
      <c r="D41" s="70"/>
      <c r="E41" s="105"/>
      <c r="F41" s="59"/>
      <c r="G41" s="59"/>
      <c r="H41" s="59"/>
      <c r="I41" s="59"/>
      <c r="J41" s="59"/>
      <c r="K41" s="59"/>
      <c r="L41" s="59"/>
      <c r="M41" s="59"/>
    </row>
    <row r="42" s="50" customFormat="1" ht="21.95" customHeight="1" spans="1:13">
      <c r="A42" s="69" t="s">
        <v>91</v>
      </c>
      <c r="B42" s="71" t="s">
        <v>73</v>
      </c>
      <c r="C42" s="69" t="s">
        <v>93</v>
      </c>
      <c r="D42" s="72">
        <v>341.46</v>
      </c>
      <c r="E42" s="126"/>
      <c r="F42" s="127"/>
      <c r="G42" s="98"/>
      <c r="H42" s="128"/>
      <c r="I42" s="59"/>
      <c r="J42" s="59"/>
      <c r="K42" s="59"/>
      <c r="L42" s="59"/>
      <c r="M42" s="59"/>
    </row>
    <row r="43" s="50" customFormat="1" ht="21.95" customHeight="1" spans="1:13">
      <c r="A43" s="69" t="s">
        <v>97</v>
      </c>
      <c r="B43" s="71" t="s">
        <v>76</v>
      </c>
      <c r="C43" s="69" t="s">
        <v>96</v>
      </c>
      <c r="D43" s="73">
        <f>12*3</f>
        <v>36</v>
      </c>
      <c r="E43" s="130"/>
      <c r="F43" s="59"/>
      <c r="G43" s="98"/>
      <c r="H43" s="128"/>
      <c r="I43" s="59"/>
      <c r="J43" s="59"/>
      <c r="K43" s="59"/>
      <c r="L43" s="59"/>
      <c r="M43" s="59"/>
    </row>
    <row r="44" s="50" customFormat="1" ht="21.95" customHeight="1" spans="1:13">
      <c r="A44" s="69" t="s">
        <v>206</v>
      </c>
      <c r="B44" s="74" t="s">
        <v>184</v>
      </c>
      <c r="C44" s="69" t="s">
        <v>99</v>
      </c>
      <c r="D44" s="75">
        <v>0.1</v>
      </c>
      <c r="E44" s="131"/>
      <c r="F44" s="59"/>
      <c r="G44" s="128"/>
      <c r="H44" s="59"/>
      <c r="I44" s="59"/>
      <c r="J44" s="59"/>
      <c r="K44" s="59"/>
      <c r="L44" s="59"/>
      <c r="M44" s="59"/>
    </row>
    <row r="45" s="50" customFormat="1" ht="21.95" customHeight="1" spans="1:13">
      <c r="A45" s="69" t="s">
        <v>207</v>
      </c>
      <c r="B45" s="71" t="s">
        <v>186</v>
      </c>
      <c r="C45" s="69" t="s">
        <v>208</v>
      </c>
      <c r="D45" s="76">
        <v>12</v>
      </c>
      <c r="E45" s="184"/>
      <c r="F45" s="59"/>
      <c r="G45" s="59"/>
      <c r="H45" s="59"/>
      <c r="I45" s="59"/>
      <c r="J45" s="59"/>
      <c r="K45" s="59"/>
      <c r="L45" s="59"/>
      <c r="M45" s="59"/>
    </row>
    <row r="46" s="50" customFormat="1" ht="21.95" customHeight="1" spans="1:13">
      <c r="A46" s="77" t="s">
        <v>188</v>
      </c>
      <c r="B46" s="77"/>
      <c r="C46" s="77"/>
      <c r="D46" s="78">
        <f>ROUND((D42/D43)-((D42*D44)/D43),2)</f>
        <v>8.54</v>
      </c>
      <c r="E46" s="185"/>
      <c r="F46" s="133"/>
      <c r="G46" s="94"/>
      <c r="H46" s="98"/>
      <c r="I46" s="59"/>
      <c r="J46" s="59"/>
      <c r="K46" s="59"/>
      <c r="L46" s="59"/>
      <c r="M46" s="59"/>
    </row>
    <row r="47" s="50" customFormat="1" ht="6.95" customHeight="1" spans="1:13">
      <c r="A47" s="69"/>
      <c r="B47" s="70"/>
      <c r="C47" s="69"/>
      <c r="D47" s="70"/>
      <c r="E47" s="105"/>
      <c r="F47" s="59"/>
      <c r="G47" s="128"/>
      <c r="H47" s="59"/>
      <c r="I47" s="59"/>
      <c r="J47" s="59"/>
      <c r="K47" s="59"/>
      <c r="L47" s="59"/>
      <c r="M47" s="59"/>
    </row>
    <row r="48" s="50" customFormat="1" ht="21.95" customHeight="1" spans="1:13">
      <c r="A48" s="79" t="s">
        <v>84</v>
      </c>
      <c r="B48" s="79"/>
      <c r="C48" s="79"/>
      <c r="D48" s="79"/>
      <c r="E48" s="186"/>
      <c r="F48" s="59"/>
      <c r="G48" s="59"/>
      <c r="H48" s="59"/>
      <c r="I48" s="59"/>
      <c r="J48" s="59"/>
      <c r="K48" s="59"/>
      <c r="L48" s="59"/>
      <c r="M48" s="59"/>
    </row>
    <row r="49" s="50" customFormat="1" ht="8.1" customHeight="1" spans="1:13">
      <c r="A49" s="69"/>
      <c r="B49" s="70"/>
      <c r="C49" s="69"/>
      <c r="D49" s="70"/>
      <c r="E49" s="105"/>
      <c r="F49" s="59"/>
      <c r="G49" s="98"/>
      <c r="H49" s="59"/>
      <c r="I49" s="59"/>
      <c r="J49" s="59"/>
      <c r="K49" s="59"/>
      <c r="L49" s="59"/>
      <c r="M49" s="59"/>
    </row>
    <row r="50" s="50" customFormat="1" ht="21.95" customHeight="1" spans="1:13">
      <c r="A50" s="69" t="s">
        <v>209</v>
      </c>
      <c r="B50" s="70" t="s">
        <v>86</v>
      </c>
      <c r="C50" s="69" t="s">
        <v>210</v>
      </c>
      <c r="D50" s="80">
        <f>D44/D45</f>
        <v>0.00833333333333333</v>
      </c>
      <c r="E50" s="134"/>
      <c r="F50" s="59"/>
      <c r="G50" s="98"/>
      <c r="H50" s="59"/>
      <c r="I50" s="59"/>
      <c r="J50" s="59"/>
      <c r="K50" s="59"/>
      <c r="L50" s="59"/>
      <c r="M50" s="59"/>
    </row>
    <row r="51" s="50" customFormat="1" ht="21.95" customHeight="1" spans="1:13">
      <c r="A51" s="69" t="s">
        <v>211</v>
      </c>
      <c r="B51" s="70" t="s">
        <v>192</v>
      </c>
      <c r="C51" s="69" t="s">
        <v>212</v>
      </c>
      <c r="D51" s="81">
        <f>ROUND(D42*D50,2)</f>
        <v>2.85</v>
      </c>
      <c r="E51" s="135"/>
      <c r="F51" s="59"/>
      <c r="G51" s="59"/>
      <c r="H51" s="59"/>
      <c r="I51" s="59"/>
      <c r="J51" s="59"/>
      <c r="K51" s="59"/>
      <c r="L51" s="59"/>
      <c r="M51" s="59"/>
    </row>
    <row r="52" s="51" customFormat="1" ht="21.95" customHeight="1" spans="1:13">
      <c r="A52" s="82" t="s">
        <v>81</v>
      </c>
      <c r="B52" s="82"/>
      <c r="C52" s="82"/>
      <c r="D52" s="83">
        <f>SUM(D46+D51)</f>
        <v>11.39</v>
      </c>
      <c r="E52" s="186"/>
      <c r="F52" s="84"/>
      <c r="G52" s="84"/>
      <c r="H52" s="84"/>
      <c r="I52" s="84"/>
      <c r="J52" s="84"/>
      <c r="K52" s="84"/>
      <c r="L52" s="84"/>
      <c r="M52" s="84"/>
    </row>
    <row r="53" s="51" customFormat="1" ht="6" customHeight="1" spans="1:13">
      <c r="A53" s="85"/>
      <c r="B53" s="85"/>
      <c r="C53" s="85"/>
      <c r="D53" s="85"/>
      <c r="E53" s="186"/>
      <c r="F53" s="84"/>
      <c r="G53" s="84"/>
      <c r="H53" s="84"/>
      <c r="I53" s="84"/>
      <c r="J53" s="84"/>
      <c r="K53" s="84"/>
      <c r="L53" s="84"/>
      <c r="M53" s="84"/>
    </row>
    <row r="54" s="50" customFormat="1" ht="24.95" customHeight="1" spans="1:13">
      <c r="A54" s="67" t="s">
        <v>213</v>
      </c>
      <c r="B54" s="67"/>
      <c r="C54" s="67"/>
      <c r="D54" s="67"/>
      <c r="E54" s="125"/>
      <c r="F54" s="59"/>
      <c r="G54" s="59"/>
      <c r="H54" s="59"/>
      <c r="I54" s="59"/>
      <c r="J54" s="59"/>
      <c r="K54" s="59"/>
      <c r="L54" s="59"/>
      <c r="M54" s="59"/>
    </row>
    <row r="55" s="50" customFormat="1" ht="21.95" customHeight="1" spans="1:13">
      <c r="A55" s="68" t="s">
        <v>183</v>
      </c>
      <c r="B55" s="68"/>
      <c r="C55" s="68"/>
      <c r="D55" s="68"/>
      <c r="E55" s="125"/>
      <c r="F55" s="59"/>
      <c r="G55" s="59"/>
      <c r="H55" s="59"/>
      <c r="I55" s="59"/>
      <c r="J55" s="59"/>
      <c r="K55" s="59"/>
      <c r="L55" s="59"/>
      <c r="M55" s="59"/>
    </row>
    <row r="56" s="50" customFormat="1" ht="6" customHeight="1" spans="1:13">
      <c r="A56" s="69"/>
      <c r="B56" s="70"/>
      <c r="C56" s="69"/>
      <c r="D56" s="70"/>
      <c r="E56" s="105"/>
      <c r="F56" s="59"/>
      <c r="G56" s="59"/>
      <c r="H56" s="59"/>
      <c r="I56" s="59"/>
      <c r="J56" s="59"/>
      <c r="K56" s="59"/>
      <c r="L56" s="59"/>
      <c r="M56" s="59"/>
    </row>
    <row r="57" s="50" customFormat="1" ht="20.1" customHeight="1" spans="1:13">
      <c r="A57" s="69" t="s">
        <v>104</v>
      </c>
      <c r="B57" s="71" t="s">
        <v>73</v>
      </c>
      <c r="C57" s="69" t="s">
        <v>106</v>
      </c>
      <c r="D57" s="72">
        <v>31.05</v>
      </c>
      <c r="E57" s="126"/>
      <c r="F57" s="127"/>
      <c r="G57" s="98"/>
      <c r="H57" s="128"/>
      <c r="I57" s="59"/>
      <c r="J57" s="59"/>
      <c r="K57" s="59"/>
      <c r="L57" s="59"/>
      <c r="M57" s="59"/>
    </row>
    <row r="58" s="50" customFormat="1" ht="20.1" customHeight="1" spans="1:13">
      <c r="A58" s="69" t="s">
        <v>107</v>
      </c>
      <c r="B58" s="71" t="s">
        <v>76</v>
      </c>
      <c r="C58" s="69" t="s">
        <v>109</v>
      </c>
      <c r="D58" s="187">
        <v>46.05</v>
      </c>
      <c r="E58" s="130"/>
      <c r="F58" s="59"/>
      <c r="G58" s="98"/>
      <c r="H58" s="128"/>
      <c r="I58" s="59"/>
      <c r="J58" s="59"/>
      <c r="K58" s="59"/>
      <c r="L58" s="59"/>
      <c r="M58" s="59"/>
    </row>
    <row r="59" s="50" customFormat="1" ht="20.1" customHeight="1" spans="1:13">
      <c r="A59" s="69" t="s">
        <v>110</v>
      </c>
      <c r="B59" s="74" t="s">
        <v>184</v>
      </c>
      <c r="C59" s="69" t="s">
        <v>112</v>
      </c>
      <c r="D59" s="75">
        <v>0.1</v>
      </c>
      <c r="E59" s="131"/>
      <c r="F59" s="59"/>
      <c r="G59" s="128"/>
      <c r="H59" s="59"/>
      <c r="I59" s="59"/>
      <c r="J59" s="59"/>
      <c r="K59" s="59"/>
      <c r="L59" s="59"/>
      <c r="M59" s="59"/>
    </row>
    <row r="60" s="50" customFormat="1" ht="20.1" customHeight="1" spans="1:13">
      <c r="A60" s="69" t="s">
        <v>113</v>
      </c>
      <c r="B60" s="71" t="s">
        <v>186</v>
      </c>
      <c r="C60" s="69" t="s">
        <v>115</v>
      </c>
      <c r="D60" s="76">
        <v>12</v>
      </c>
      <c r="E60" s="184"/>
      <c r="F60" s="59"/>
      <c r="G60" s="59"/>
      <c r="H60" s="59"/>
      <c r="I60" s="59"/>
      <c r="J60" s="59"/>
      <c r="K60" s="59"/>
      <c r="L60" s="59"/>
      <c r="M60" s="59"/>
    </row>
    <row r="61" s="50" customFormat="1" ht="20.1" customHeight="1" spans="1:13">
      <c r="A61" s="77" t="s">
        <v>188</v>
      </c>
      <c r="B61" s="77"/>
      <c r="C61" s="77"/>
      <c r="D61" s="78">
        <f>ROUND((D57/D58)-((D57*D59)/D58),2)</f>
        <v>0.61</v>
      </c>
      <c r="E61" s="185"/>
      <c r="F61" s="133"/>
      <c r="G61" s="94"/>
      <c r="H61" s="98"/>
      <c r="I61" s="59"/>
      <c r="J61" s="59"/>
      <c r="K61" s="59"/>
      <c r="L61" s="59"/>
      <c r="M61" s="59"/>
    </row>
    <row r="62" s="50" customFormat="1" ht="6.95" customHeight="1" spans="1:13">
      <c r="A62" s="69"/>
      <c r="B62" s="70"/>
      <c r="C62" s="69"/>
      <c r="D62" s="70"/>
      <c r="E62" s="105"/>
      <c r="F62" s="59"/>
      <c r="G62" s="128"/>
      <c r="H62" s="59"/>
      <c r="I62" s="59"/>
      <c r="J62" s="59"/>
      <c r="K62" s="59"/>
      <c r="L62" s="59"/>
      <c r="M62" s="59"/>
    </row>
    <row r="63" s="50" customFormat="1" ht="21.95" customHeight="1" spans="1:13">
      <c r="A63" s="79" t="s">
        <v>84</v>
      </c>
      <c r="B63" s="79"/>
      <c r="C63" s="79"/>
      <c r="D63" s="79"/>
      <c r="E63" s="186"/>
      <c r="F63" s="59"/>
      <c r="G63" s="59"/>
      <c r="H63" s="59"/>
      <c r="I63" s="59"/>
      <c r="J63" s="59"/>
      <c r="K63" s="59"/>
      <c r="L63" s="59"/>
      <c r="M63" s="59"/>
    </row>
    <row r="64" s="50" customFormat="1" ht="8.1" customHeight="1" spans="1:13">
      <c r="A64" s="69"/>
      <c r="B64" s="70"/>
      <c r="C64" s="69"/>
      <c r="D64" s="70"/>
      <c r="E64" s="105"/>
      <c r="F64" s="59"/>
      <c r="G64" s="98"/>
      <c r="H64" s="59"/>
      <c r="I64" s="59"/>
      <c r="J64" s="59"/>
      <c r="K64" s="59"/>
      <c r="L64" s="59"/>
      <c r="M64" s="59"/>
    </row>
    <row r="65" s="50" customFormat="1" ht="21.95" customHeight="1" spans="1:13">
      <c r="A65" s="69" t="s">
        <v>214</v>
      </c>
      <c r="B65" s="70" t="s">
        <v>86</v>
      </c>
      <c r="C65" s="69" t="s">
        <v>215</v>
      </c>
      <c r="D65" s="80">
        <f>D59/D60</f>
        <v>0.00833333333333333</v>
      </c>
      <c r="E65" s="134"/>
      <c r="F65" s="59"/>
      <c r="G65" s="98"/>
      <c r="H65" s="59"/>
      <c r="I65" s="59"/>
      <c r="J65" s="59"/>
      <c r="K65" s="59"/>
      <c r="L65" s="59"/>
      <c r="M65" s="59"/>
    </row>
    <row r="66" s="50" customFormat="1" ht="21.95" customHeight="1" spans="1:13">
      <c r="A66" s="69" t="s">
        <v>216</v>
      </c>
      <c r="B66" s="70" t="s">
        <v>192</v>
      </c>
      <c r="C66" s="69" t="s">
        <v>217</v>
      </c>
      <c r="D66" s="81">
        <f>ROUND(D57*D65,2)</f>
        <v>0.26</v>
      </c>
      <c r="E66" s="135"/>
      <c r="F66" s="59"/>
      <c r="G66" s="59"/>
      <c r="H66" s="59"/>
      <c r="I66" s="59"/>
      <c r="J66" s="59"/>
      <c r="K66" s="59"/>
      <c r="L66" s="59"/>
      <c r="M66" s="59"/>
    </row>
    <row r="67" s="51" customFormat="1" ht="21.95" customHeight="1" spans="1:13">
      <c r="A67" s="82" t="s">
        <v>81</v>
      </c>
      <c r="B67" s="82"/>
      <c r="C67" s="82"/>
      <c r="D67" s="83">
        <f>SUM(D61+D66)</f>
        <v>0.87</v>
      </c>
      <c r="E67" s="186"/>
      <c r="F67" s="84"/>
      <c r="G67" s="84"/>
      <c r="H67" s="84"/>
      <c r="I67" s="84"/>
      <c r="J67" s="84"/>
      <c r="K67" s="84"/>
      <c r="L67" s="84"/>
      <c r="M67" s="84"/>
    </row>
    <row r="68" s="51" customFormat="1" ht="6" customHeight="1" spans="1:13">
      <c r="A68" s="85"/>
      <c r="B68" s="85"/>
      <c r="C68" s="85"/>
      <c r="D68" s="85"/>
      <c r="E68" s="186"/>
      <c r="F68" s="84"/>
      <c r="G68" s="84"/>
      <c r="H68" s="84"/>
      <c r="I68" s="84"/>
      <c r="J68" s="84"/>
      <c r="K68" s="84"/>
      <c r="L68" s="84"/>
      <c r="M68" s="84"/>
    </row>
    <row r="69" s="50" customFormat="1" ht="24.95" customHeight="1" spans="1:13">
      <c r="A69" s="67" t="s">
        <v>218</v>
      </c>
      <c r="B69" s="67"/>
      <c r="C69" s="67"/>
      <c r="D69" s="67"/>
      <c r="E69" s="125"/>
      <c r="F69" s="59"/>
      <c r="G69" s="59"/>
      <c r="H69" s="59"/>
      <c r="I69" s="59"/>
      <c r="J69" s="59"/>
      <c r="K69" s="59"/>
      <c r="L69" s="59"/>
      <c r="M69" s="59"/>
    </row>
    <row r="70" s="50" customFormat="1" ht="21.95" customHeight="1" spans="1:13">
      <c r="A70" s="68" t="s">
        <v>183</v>
      </c>
      <c r="B70" s="68"/>
      <c r="C70" s="68"/>
      <c r="D70" s="68"/>
      <c r="E70" s="125"/>
      <c r="F70" s="59"/>
      <c r="G70" s="59"/>
      <c r="H70" s="59"/>
      <c r="I70" s="59"/>
      <c r="J70" s="59"/>
      <c r="K70" s="59"/>
      <c r="L70" s="59"/>
      <c r="M70" s="59"/>
    </row>
    <row r="71" s="50" customFormat="1" ht="6" customHeight="1" spans="1:13">
      <c r="A71" s="69"/>
      <c r="B71" s="70"/>
      <c r="C71" s="69"/>
      <c r="D71" s="70"/>
      <c r="E71" s="105"/>
      <c r="F71" s="59"/>
      <c r="G71" s="59"/>
      <c r="H71" s="59"/>
      <c r="I71" s="59"/>
      <c r="J71" s="59"/>
      <c r="K71" s="59"/>
      <c r="L71" s="59"/>
      <c r="M71" s="59"/>
    </row>
    <row r="72" s="50" customFormat="1" ht="20.1" customHeight="1" spans="1:13">
      <c r="A72" s="69" t="s">
        <v>119</v>
      </c>
      <c r="B72" s="71" t="s">
        <v>73</v>
      </c>
      <c r="C72" s="69" t="s">
        <v>121</v>
      </c>
      <c r="D72" s="72">
        <v>425</v>
      </c>
      <c r="E72" s="126"/>
      <c r="F72" s="127"/>
      <c r="G72" s="98"/>
      <c r="H72" s="128"/>
      <c r="I72" s="59"/>
      <c r="J72" s="59"/>
      <c r="K72" s="59"/>
      <c r="L72" s="59"/>
      <c r="M72" s="59"/>
    </row>
    <row r="73" s="50" customFormat="1" ht="20.1" customHeight="1" spans="1:13">
      <c r="A73" s="69" t="s">
        <v>122</v>
      </c>
      <c r="B73" s="71" t="s">
        <v>76</v>
      </c>
      <c r="C73" s="69" t="s">
        <v>124</v>
      </c>
      <c r="D73" s="73">
        <f>12*2</f>
        <v>24</v>
      </c>
      <c r="E73" s="130"/>
      <c r="F73" s="59"/>
      <c r="G73" s="98"/>
      <c r="H73" s="128"/>
      <c r="I73" s="59"/>
      <c r="J73" s="59"/>
      <c r="K73" s="59"/>
      <c r="L73" s="59"/>
      <c r="M73" s="59"/>
    </row>
    <row r="74" s="50" customFormat="1" ht="20.1" customHeight="1" spans="1:13">
      <c r="A74" s="69" t="s">
        <v>126</v>
      </c>
      <c r="B74" s="74" t="s">
        <v>184</v>
      </c>
      <c r="C74" s="69" t="s">
        <v>128</v>
      </c>
      <c r="D74" s="75">
        <v>0.1</v>
      </c>
      <c r="E74" s="131"/>
      <c r="F74" s="59"/>
      <c r="G74" s="128"/>
      <c r="H74" s="59"/>
      <c r="I74" s="59"/>
      <c r="J74" s="59"/>
      <c r="K74" s="59"/>
      <c r="L74" s="59"/>
      <c r="M74" s="59"/>
    </row>
    <row r="75" s="50" customFormat="1" ht="20.1" customHeight="1" spans="1:13">
      <c r="A75" s="69" t="s">
        <v>129</v>
      </c>
      <c r="B75" s="71" t="s">
        <v>186</v>
      </c>
      <c r="C75" s="69" t="s">
        <v>131</v>
      </c>
      <c r="D75" s="76">
        <v>12</v>
      </c>
      <c r="E75" s="184"/>
      <c r="F75" s="59"/>
      <c r="G75" s="59"/>
      <c r="H75" s="59"/>
      <c r="I75" s="59"/>
      <c r="J75" s="59"/>
      <c r="K75" s="59"/>
      <c r="L75" s="59"/>
      <c r="M75" s="59"/>
    </row>
    <row r="76" s="50" customFormat="1" ht="20.1" customHeight="1" spans="1:13">
      <c r="A76" s="77" t="s">
        <v>188</v>
      </c>
      <c r="B76" s="77"/>
      <c r="C76" s="77"/>
      <c r="D76" s="78">
        <f>ROUND((D72/D73)-((D72*D74)/D73),2)</f>
        <v>15.94</v>
      </c>
      <c r="E76" s="185"/>
      <c r="F76" s="133"/>
      <c r="G76" s="94"/>
      <c r="H76" s="98"/>
      <c r="I76" s="59"/>
      <c r="J76" s="59"/>
      <c r="K76" s="59"/>
      <c r="L76" s="59"/>
      <c r="M76" s="59"/>
    </row>
    <row r="77" s="50" customFormat="1" ht="6.95" customHeight="1" spans="1:13">
      <c r="A77" s="69"/>
      <c r="B77" s="70"/>
      <c r="C77" s="69"/>
      <c r="D77" s="70"/>
      <c r="E77" s="105"/>
      <c r="F77" s="59"/>
      <c r="G77" s="128"/>
      <c r="H77" s="59"/>
      <c r="I77" s="59"/>
      <c r="J77" s="59"/>
      <c r="K77" s="59"/>
      <c r="L77" s="59"/>
      <c r="M77" s="59"/>
    </row>
    <row r="78" s="50" customFormat="1" ht="21.95" customHeight="1" spans="1:13">
      <c r="A78" s="79" t="s">
        <v>84</v>
      </c>
      <c r="B78" s="79"/>
      <c r="C78" s="79"/>
      <c r="D78" s="79"/>
      <c r="E78" s="186"/>
      <c r="F78" s="59"/>
      <c r="G78" s="59"/>
      <c r="H78" s="59"/>
      <c r="I78" s="59"/>
      <c r="J78" s="59"/>
      <c r="K78" s="59"/>
      <c r="L78" s="59"/>
      <c r="M78" s="59"/>
    </row>
    <row r="79" s="50" customFormat="1" ht="8.1" customHeight="1" spans="1:13">
      <c r="A79" s="69"/>
      <c r="B79" s="70"/>
      <c r="C79" s="69"/>
      <c r="D79" s="70"/>
      <c r="E79" s="105"/>
      <c r="F79" s="59"/>
      <c r="G79" s="98"/>
      <c r="H79" s="59"/>
      <c r="I79" s="59"/>
      <c r="J79" s="59"/>
      <c r="K79" s="59"/>
      <c r="L79" s="59"/>
      <c r="M79" s="59"/>
    </row>
    <row r="80" s="50" customFormat="1" ht="21.95" customHeight="1" spans="1:13">
      <c r="A80" s="69" t="s">
        <v>219</v>
      </c>
      <c r="B80" s="70" t="s">
        <v>86</v>
      </c>
      <c r="C80" s="69" t="s">
        <v>220</v>
      </c>
      <c r="D80" s="80">
        <f>D74/D75</f>
        <v>0.00833333333333333</v>
      </c>
      <c r="E80" s="134"/>
      <c r="F80" s="59"/>
      <c r="G80" s="98"/>
      <c r="H80" s="59"/>
      <c r="I80" s="59"/>
      <c r="J80" s="59"/>
      <c r="K80" s="59"/>
      <c r="L80" s="59"/>
      <c r="M80" s="59"/>
    </row>
    <row r="81" s="50" customFormat="1" ht="21.95" customHeight="1" spans="1:13">
      <c r="A81" s="69" t="s">
        <v>221</v>
      </c>
      <c r="B81" s="70" t="s">
        <v>192</v>
      </c>
      <c r="C81" s="69" t="s">
        <v>222</v>
      </c>
      <c r="D81" s="81">
        <f>ROUND(D72*D80,2)</f>
        <v>3.54</v>
      </c>
      <c r="E81" s="135"/>
      <c r="F81" s="59"/>
      <c r="G81" s="59"/>
      <c r="H81" s="59"/>
      <c r="I81" s="59"/>
      <c r="J81" s="59"/>
      <c r="K81" s="59"/>
      <c r="L81" s="59"/>
      <c r="M81" s="59"/>
    </row>
    <row r="82" s="51" customFormat="1" ht="21.95" customHeight="1" spans="1:13">
      <c r="A82" s="82" t="s">
        <v>81</v>
      </c>
      <c r="B82" s="82"/>
      <c r="C82" s="82"/>
      <c r="D82" s="83">
        <f>SUM(D76+D81)</f>
        <v>19.48</v>
      </c>
      <c r="E82" s="186"/>
      <c r="F82" s="84"/>
      <c r="G82" s="84"/>
      <c r="H82" s="84"/>
      <c r="I82" s="84"/>
      <c r="J82" s="84"/>
      <c r="K82" s="84"/>
      <c r="L82" s="84"/>
      <c r="M82" s="84"/>
    </row>
    <row r="83" s="51" customFormat="1" ht="6" customHeight="1" spans="1:13">
      <c r="A83" s="85"/>
      <c r="B83" s="85"/>
      <c r="C83" s="85"/>
      <c r="D83" s="85"/>
      <c r="E83" s="186"/>
      <c r="F83" s="84"/>
      <c r="G83" s="84"/>
      <c r="H83" s="84"/>
      <c r="I83" s="84"/>
      <c r="J83" s="84"/>
      <c r="K83" s="84"/>
      <c r="L83" s="84"/>
      <c r="M83" s="84"/>
    </row>
    <row r="84" s="50" customFormat="1" ht="24.95" customHeight="1" spans="1:13">
      <c r="A84" s="67" t="s">
        <v>223</v>
      </c>
      <c r="B84" s="67"/>
      <c r="C84" s="67"/>
      <c r="D84" s="67"/>
      <c r="E84" s="125"/>
      <c r="F84" s="59"/>
      <c r="G84" s="59"/>
      <c r="H84" s="59"/>
      <c r="I84" s="59"/>
      <c r="J84" s="59"/>
      <c r="K84" s="59"/>
      <c r="L84" s="59"/>
      <c r="M84" s="59"/>
    </row>
    <row r="85" s="50" customFormat="1" ht="21.95" customHeight="1" spans="1:13">
      <c r="A85" s="68" t="s">
        <v>183</v>
      </c>
      <c r="B85" s="68"/>
      <c r="C85" s="68"/>
      <c r="D85" s="68"/>
      <c r="E85" s="125"/>
      <c r="F85" s="59"/>
      <c r="G85" s="59"/>
      <c r="H85" s="59"/>
      <c r="I85" s="59"/>
      <c r="J85" s="59"/>
      <c r="K85" s="59"/>
      <c r="L85" s="59"/>
      <c r="M85" s="59"/>
    </row>
    <row r="86" s="50" customFormat="1" ht="6" customHeight="1" spans="1:13">
      <c r="A86" s="69"/>
      <c r="B86" s="70"/>
      <c r="C86" s="69"/>
      <c r="D86" s="70"/>
      <c r="E86" s="105"/>
      <c r="F86" s="59"/>
      <c r="G86" s="59"/>
      <c r="H86" s="59"/>
      <c r="I86" s="59"/>
      <c r="J86" s="59"/>
      <c r="K86" s="59"/>
      <c r="L86" s="59"/>
      <c r="M86" s="59"/>
    </row>
    <row r="87" s="50" customFormat="1" ht="20.1" customHeight="1" spans="1:13">
      <c r="A87" s="69" t="s">
        <v>136</v>
      </c>
      <c r="B87" s="71" t="s">
        <v>73</v>
      </c>
      <c r="C87" s="69" t="s">
        <v>138</v>
      </c>
      <c r="D87" s="72">
        <v>294.67</v>
      </c>
      <c r="E87" s="126"/>
      <c r="F87" s="127"/>
      <c r="G87" s="98"/>
      <c r="H87" s="128"/>
      <c r="I87" s="59"/>
      <c r="J87" s="59"/>
      <c r="K87" s="59"/>
      <c r="L87" s="59"/>
      <c r="M87" s="59"/>
    </row>
    <row r="88" s="50" customFormat="1" ht="20.1" customHeight="1" spans="1:13">
      <c r="A88" s="69" t="s">
        <v>139</v>
      </c>
      <c r="B88" s="71" t="s">
        <v>76</v>
      </c>
      <c r="C88" s="69" t="s">
        <v>141</v>
      </c>
      <c r="D88" s="73">
        <f>12*2</f>
        <v>24</v>
      </c>
      <c r="E88" s="130"/>
      <c r="F88" s="59"/>
      <c r="G88" s="98"/>
      <c r="H88" s="128"/>
      <c r="I88" s="59"/>
      <c r="J88" s="59"/>
      <c r="K88" s="59"/>
      <c r="L88" s="59"/>
      <c r="M88" s="59"/>
    </row>
    <row r="89" s="50" customFormat="1" ht="20.1" customHeight="1" spans="1:13">
      <c r="A89" s="69" t="s">
        <v>142</v>
      </c>
      <c r="B89" s="74" t="s">
        <v>184</v>
      </c>
      <c r="C89" s="69" t="s">
        <v>144</v>
      </c>
      <c r="D89" s="75">
        <v>0.1</v>
      </c>
      <c r="E89" s="131"/>
      <c r="F89" s="59"/>
      <c r="G89" s="128"/>
      <c r="H89" s="59"/>
      <c r="I89" s="59"/>
      <c r="J89" s="59"/>
      <c r="K89" s="59"/>
      <c r="L89" s="59"/>
      <c r="M89" s="59"/>
    </row>
    <row r="90" s="50" customFormat="1" ht="20.1" customHeight="1" spans="1:13">
      <c r="A90" s="69" t="s">
        <v>145</v>
      </c>
      <c r="B90" s="71" t="s">
        <v>186</v>
      </c>
      <c r="C90" s="69" t="s">
        <v>147</v>
      </c>
      <c r="D90" s="76">
        <v>12</v>
      </c>
      <c r="E90" s="184"/>
      <c r="F90" s="59"/>
      <c r="G90" s="59"/>
      <c r="H90" s="59"/>
      <c r="I90" s="59"/>
      <c r="J90" s="59"/>
      <c r="K90" s="59"/>
      <c r="L90" s="59"/>
      <c r="M90" s="59"/>
    </row>
    <row r="91" s="50" customFormat="1" ht="20.1" customHeight="1" spans="1:13">
      <c r="A91" s="77" t="s">
        <v>188</v>
      </c>
      <c r="B91" s="77"/>
      <c r="C91" s="77"/>
      <c r="D91" s="78">
        <f>ROUND((D87/D88)-((D87*D89)/D88),2)</f>
        <v>11.05</v>
      </c>
      <c r="E91" s="185"/>
      <c r="F91" s="133"/>
      <c r="G91" s="94"/>
      <c r="H91" s="98"/>
      <c r="I91" s="59"/>
      <c r="J91" s="59"/>
      <c r="K91" s="59"/>
      <c r="L91" s="59"/>
      <c r="M91" s="59"/>
    </row>
    <row r="92" s="50" customFormat="1" ht="6.95" customHeight="1" spans="1:13">
      <c r="A92" s="69"/>
      <c r="B92" s="70"/>
      <c r="C92" s="69"/>
      <c r="D92" s="70"/>
      <c r="E92" s="105"/>
      <c r="F92" s="59"/>
      <c r="G92" s="128"/>
      <c r="H92" s="59"/>
      <c r="I92" s="59"/>
      <c r="J92" s="59"/>
      <c r="K92" s="59"/>
      <c r="L92" s="59"/>
      <c r="M92" s="59"/>
    </row>
    <row r="93" s="50" customFormat="1" ht="21.95" customHeight="1" spans="1:13">
      <c r="A93" s="79" t="s">
        <v>84</v>
      </c>
      <c r="B93" s="79"/>
      <c r="C93" s="79"/>
      <c r="D93" s="79"/>
      <c r="E93" s="186"/>
      <c r="F93" s="59"/>
      <c r="G93" s="59"/>
      <c r="H93" s="59"/>
      <c r="I93" s="59"/>
      <c r="J93" s="59"/>
      <c r="K93" s="59"/>
      <c r="L93" s="59"/>
      <c r="M93" s="59"/>
    </row>
    <row r="94" s="50" customFormat="1" ht="8.1" customHeight="1" spans="1:13">
      <c r="A94" s="69"/>
      <c r="B94" s="70"/>
      <c r="C94" s="69"/>
      <c r="D94" s="70"/>
      <c r="E94" s="105"/>
      <c r="F94" s="59"/>
      <c r="G94" s="98"/>
      <c r="H94" s="59"/>
      <c r="I94" s="59"/>
      <c r="J94" s="59"/>
      <c r="K94" s="59"/>
      <c r="L94" s="59"/>
      <c r="M94" s="59"/>
    </row>
    <row r="95" s="50" customFormat="1" ht="21.95" customHeight="1" spans="1:13">
      <c r="A95" s="69" t="s">
        <v>224</v>
      </c>
      <c r="B95" s="70" t="s">
        <v>86</v>
      </c>
      <c r="C95" s="69" t="s">
        <v>225</v>
      </c>
      <c r="D95" s="80">
        <f>D89/D90</f>
        <v>0.00833333333333333</v>
      </c>
      <c r="E95" s="134"/>
      <c r="F95" s="59"/>
      <c r="G95" s="98"/>
      <c r="H95" s="59"/>
      <c r="I95" s="59"/>
      <c r="J95" s="59"/>
      <c r="K95" s="59"/>
      <c r="L95" s="59"/>
      <c r="M95" s="59"/>
    </row>
    <row r="96" s="50" customFormat="1" ht="21.95" customHeight="1" spans="1:13">
      <c r="A96" s="69" t="s">
        <v>226</v>
      </c>
      <c r="B96" s="70" t="s">
        <v>192</v>
      </c>
      <c r="C96" s="69" t="s">
        <v>227</v>
      </c>
      <c r="D96" s="81">
        <f>ROUND(D87*D95,2)</f>
        <v>2.46</v>
      </c>
      <c r="E96" s="135"/>
      <c r="F96" s="59"/>
      <c r="G96" s="59"/>
      <c r="H96" s="59"/>
      <c r="I96" s="59"/>
      <c r="J96" s="59"/>
      <c r="K96" s="59"/>
      <c r="L96" s="59"/>
      <c r="M96" s="59"/>
    </row>
    <row r="97" s="51" customFormat="1" ht="21.95" customHeight="1" spans="1:13">
      <c r="A97" s="82" t="s">
        <v>81</v>
      </c>
      <c r="B97" s="82"/>
      <c r="C97" s="82"/>
      <c r="D97" s="83">
        <f>SUM(D91+D96)</f>
        <v>13.51</v>
      </c>
      <c r="E97" s="186"/>
      <c r="F97" s="84"/>
      <c r="G97" s="84"/>
      <c r="H97" s="84"/>
      <c r="I97" s="84"/>
      <c r="J97" s="84"/>
      <c r="K97" s="84"/>
      <c r="L97" s="84"/>
      <c r="M97" s="84"/>
    </row>
    <row r="98" s="51" customFormat="1" ht="6" customHeight="1" spans="1:13">
      <c r="A98" s="85"/>
      <c r="B98" s="85"/>
      <c r="C98" s="85"/>
      <c r="D98" s="85"/>
      <c r="E98" s="186"/>
      <c r="F98" s="84"/>
      <c r="G98" s="84"/>
      <c r="H98" s="84"/>
      <c r="I98" s="84"/>
      <c r="J98" s="84"/>
      <c r="K98" s="84"/>
      <c r="L98" s="84"/>
      <c r="M98" s="84"/>
    </row>
    <row r="99" s="50" customFormat="1" ht="24.95" customHeight="1" spans="1:13">
      <c r="A99" s="67" t="s">
        <v>228</v>
      </c>
      <c r="B99" s="67"/>
      <c r="C99" s="67"/>
      <c r="D99" s="67"/>
      <c r="E99" s="125"/>
      <c r="F99" s="59"/>
      <c r="G99" s="59"/>
      <c r="H99" s="59"/>
      <c r="I99" s="59"/>
      <c r="J99" s="59"/>
      <c r="K99" s="59"/>
      <c r="L99" s="59"/>
      <c r="M99" s="59"/>
    </row>
    <row r="100" s="50" customFormat="1" ht="21.95" customHeight="1" spans="1:13">
      <c r="A100" s="68" t="s">
        <v>183</v>
      </c>
      <c r="B100" s="68"/>
      <c r="C100" s="68"/>
      <c r="D100" s="68"/>
      <c r="E100" s="125"/>
      <c r="F100" s="59"/>
      <c r="G100" s="59"/>
      <c r="H100" s="59"/>
      <c r="I100" s="59"/>
      <c r="J100" s="59"/>
      <c r="K100" s="59"/>
      <c r="L100" s="59"/>
      <c r="M100" s="59"/>
    </row>
    <row r="101" s="50" customFormat="1" ht="6" customHeight="1" spans="1:13">
      <c r="A101" s="69"/>
      <c r="B101" s="70"/>
      <c r="C101" s="69"/>
      <c r="D101" s="70"/>
      <c r="E101" s="105"/>
      <c r="F101" s="59"/>
      <c r="G101" s="59"/>
      <c r="H101" s="59"/>
      <c r="I101" s="59"/>
      <c r="J101" s="59"/>
      <c r="K101" s="59"/>
      <c r="L101" s="59"/>
      <c r="M101" s="59"/>
    </row>
    <row r="102" s="50" customFormat="1" ht="20.1" customHeight="1" spans="1:13">
      <c r="A102" s="69" t="s">
        <v>151</v>
      </c>
      <c r="B102" s="71" t="s">
        <v>73</v>
      </c>
      <c r="C102" s="69" t="s">
        <v>153</v>
      </c>
      <c r="D102" s="72">
        <v>72.88</v>
      </c>
      <c r="E102" s="126"/>
      <c r="F102" s="127"/>
      <c r="G102" s="98"/>
      <c r="H102" s="128"/>
      <c r="I102" s="59"/>
      <c r="J102" s="59"/>
      <c r="K102" s="59"/>
      <c r="L102" s="59"/>
      <c r="M102" s="59"/>
    </row>
    <row r="103" s="50" customFormat="1" ht="20.1" customHeight="1" spans="1:13">
      <c r="A103" s="69" t="s">
        <v>156</v>
      </c>
      <c r="B103" s="71" t="s">
        <v>76</v>
      </c>
      <c r="C103" s="69" t="s">
        <v>158</v>
      </c>
      <c r="D103" s="73">
        <f>12</f>
        <v>12</v>
      </c>
      <c r="E103" s="130"/>
      <c r="F103" s="59"/>
      <c r="G103" s="98"/>
      <c r="H103" s="128"/>
      <c r="I103" s="59"/>
      <c r="J103" s="59"/>
      <c r="K103" s="59"/>
      <c r="L103" s="59"/>
      <c r="M103" s="59"/>
    </row>
    <row r="104" s="50" customFormat="1" ht="20.1" customHeight="1" spans="1:13">
      <c r="A104" s="69" t="s">
        <v>229</v>
      </c>
      <c r="B104" s="74" t="s">
        <v>184</v>
      </c>
      <c r="C104" s="69" t="s">
        <v>230</v>
      </c>
      <c r="D104" s="75">
        <v>0.1</v>
      </c>
      <c r="E104" s="131"/>
      <c r="F104" s="59"/>
      <c r="G104" s="128"/>
      <c r="H104" s="59"/>
      <c r="I104" s="59"/>
      <c r="J104" s="59"/>
      <c r="K104" s="59"/>
      <c r="L104" s="59"/>
      <c r="M104" s="59"/>
    </row>
    <row r="105" s="50" customFormat="1" ht="20.1" customHeight="1" spans="1:13">
      <c r="A105" s="69" t="s">
        <v>231</v>
      </c>
      <c r="B105" s="71" t="s">
        <v>186</v>
      </c>
      <c r="C105" s="69" t="s">
        <v>232</v>
      </c>
      <c r="D105" s="76">
        <v>12</v>
      </c>
      <c r="E105" s="184"/>
      <c r="F105" s="59"/>
      <c r="G105" s="59"/>
      <c r="H105" s="59"/>
      <c r="I105" s="59"/>
      <c r="J105" s="59"/>
      <c r="K105" s="59"/>
      <c r="L105" s="59"/>
      <c r="M105" s="59"/>
    </row>
    <row r="106" s="50" customFormat="1" ht="20.1" customHeight="1" spans="1:13">
      <c r="A106" s="77" t="s">
        <v>188</v>
      </c>
      <c r="B106" s="77"/>
      <c r="C106" s="77"/>
      <c r="D106" s="78">
        <f>ROUND((D102/D103)-((D102*D104)/D103),2)</f>
        <v>5.47</v>
      </c>
      <c r="E106" s="185"/>
      <c r="F106" s="133"/>
      <c r="G106" s="94"/>
      <c r="H106" s="98"/>
      <c r="I106" s="59"/>
      <c r="J106" s="59"/>
      <c r="K106" s="59"/>
      <c r="L106" s="59"/>
      <c r="M106" s="59"/>
    </row>
    <row r="107" s="50" customFormat="1" ht="6.95" customHeight="1" spans="1:13">
      <c r="A107" s="69"/>
      <c r="B107" s="70"/>
      <c r="C107" s="69"/>
      <c r="D107" s="70"/>
      <c r="E107" s="105"/>
      <c r="F107" s="59"/>
      <c r="G107" s="128"/>
      <c r="H107" s="59"/>
      <c r="I107" s="59"/>
      <c r="J107" s="59"/>
      <c r="K107" s="59"/>
      <c r="L107" s="59"/>
      <c r="M107" s="59"/>
    </row>
    <row r="108" s="50" customFormat="1" ht="21.95" customHeight="1" spans="1:13">
      <c r="A108" s="79" t="s">
        <v>84</v>
      </c>
      <c r="B108" s="79"/>
      <c r="C108" s="79"/>
      <c r="D108" s="79"/>
      <c r="E108" s="186"/>
      <c r="F108" s="59"/>
      <c r="G108" s="59"/>
      <c r="H108" s="59"/>
      <c r="I108" s="59"/>
      <c r="J108" s="59"/>
      <c r="K108" s="59"/>
      <c r="L108" s="59"/>
      <c r="M108" s="59"/>
    </row>
    <row r="109" s="50" customFormat="1" ht="8.1" customHeight="1" spans="1:13">
      <c r="A109" s="69"/>
      <c r="B109" s="70"/>
      <c r="C109" s="69"/>
      <c r="D109" s="70"/>
      <c r="E109" s="105"/>
      <c r="F109" s="59"/>
      <c r="G109" s="98"/>
      <c r="H109" s="59"/>
      <c r="I109" s="59"/>
      <c r="J109" s="59"/>
      <c r="K109" s="59"/>
      <c r="L109" s="59"/>
      <c r="M109" s="59"/>
    </row>
    <row r="110" s="50" customFormat="1" ht="21.95" customHeight="1" spans="1:13">
      <c r="A110" s="69" t="s">
        <v>233</v>
      </c>
      <c r="B110" s="70" t="s">
        <v>86</v>
      </c>
      <c r="C110" s="69" t="s">
        <v>234</v>
      </c>
      <c r="D110" s="80">
        <f>D104/D103</f>
        <v>0.00833333333333333</v>
      </c>
      <c r="E110" s="134"/>
      <c r="F110" s="59"/>
      <c r="G110" s="98"/>
      <c r="H110" s="59"/>
      <c r="I110" s="59"/>
      <c r="J110" s="59"/>
      <c r="K110" s="59"/>
      <c r="L110" s="59"/>
      <c r="M110" s="59"/>
    </row>
    <row r="111" s="50" customFormat="1" ht="21.95" customHeight="1" spans="1:13">
      <c r="A111" s="69" t="s">
        <v>235</v>
      </c>
      <c r="B111" s="70" t="s">
        <v>192</v>
      </c>
      <c r="C111" s="69" t="s">
        <v>236</v>
      </c>
      <c r="D111" s="81">
        <f>ROUND(D102*D110,2)</f>
        <v>0.61</v>
      </c>
      <c r="E111" s="135"/>
      <c r="F111" s="59"/>
      <c r="G111" s="59"/>
      <c r="H111" s="59"/>
      <c r="I111" s="59"/>
      <c r="J111" s="59"/>
      <c r="K111" s="59"/>
      <c r="L111" s="59"/>
      <c r="M111" s="59"/>
    </row>
    <row r="112" s="51" customFormat="1" ht="21.95" customHeight="1" spans="1:13">
      <c r="A112" s="82" t="s">
        <v>81</v>
      </c>
      <c r="B112" s="82"/>
      <c r="C112" s="82"/>
      <c r="D112" s="83">
        <f>SUM(D106+D111)</f>
        <v>6.08</v>
      </c>
      <c r="E112" s="186"/>
      <c r="F112" s="84"/>
      <c r="G112" s="84"/>
      <c r="H112" s="84"/>
      <c r="I112" s="84"/>
      <c r="J112" s="84"/>
      <c r="K112" s="84"/>
      <c r="L112" s="84"/>
      <c r="M112" s="84"/>
    </row>
    <row r="113" s="51" customFormat="1" ht="9.95" customHeight="1" spans="1:13">
      <c r="A113" s="85"/>
      <c r="B113" s="85"/>
      <c r="C113" s="85"/>
      <c r="D113" s="85"/>
      <c r="E113" s="186"/>
      <c r="F113" s="84"/>
      <c r="G113" s="84"/>
      <c r="H113" s="84"/>
      <c r="I113" s="84"/>
      <c r="J113" s="84"/>
      <c r="K113" s="84"/>
      <c r="L113" s="84"/>
      <c r="M113" s="84"/>
    </row>
    <row r="114" s="50" customFormat="1" ht="24.95" customHeight="1" spans="1:13">
      <c r="A114" s="88" t="s">
        <v>163</v>
      </c>
      <c r="B114" s="89" t="s">
        <v>168</v>
      </c>
      <c r="C114" s="90" t="s">
        <v>48</v>
      </c>
      <c r="D114" s="91">
        <f>ROUND(SUM(D22+D37+D52+D67+D82+D97+D112),2)</f>
        <v>74.42</v>
      </c>
      <c r="E114" s="92"/>
      <c r="F114" s="93"/>
      <c r="G114" s="94"/>
      <c r="H114" s="59"/>
      <c r="I114" s="59"/>
      <c r="J114" s="59"/>
      <c r="K114" s="59"/>
      <c r="L114" s="59"/>
      <c r="M114" s="59"/>
    </row>
    <row r="115" s="50" customFormat="1" ht="9" customHeight="1" spans="1:13">
      <c r="A115" s="69"/>
      <c r="B115" s="71"/>
      <c r="C115" s="69"/>
      <c r="D115" s="95"/>
      <c r="E115" s="96"/>
      <c r="F115" s="59"/>
      <c r="G115" s="59"/>
      <c r="H115" s="59"/>
      <c r="I115" s="59"/>
      <c r="J115" s="59"/>
      <c r="K115" s="59"/>
      <c r="L115" s="59"/>
      <c r="M115" s="59"/>
    </row>
    <row r="116" s="50" customFormat="1" ht="24.95" customHeight="1" spans="1:13">
      <c r="A116" s="88" t="s">
        <v>237</v>
      </c>
      <c r="B116" s="89" t="s">
        <v>170</v>
      </c>
      <c r="C116" s="90" t="s">
        <v>48</v>
      </c>
      <c r="D116" s="91">
        <f>ROUND(D114*1.2302,2)</f>
        <v>91.55</v>
      </c>
      <c r="E116" s="97"/>
      <c r="F116" s="59"/>
      <c r="G116" s="98"/>
      <c r="H116" s="59"/>
      <c r="I116" s="59"/>
      <c r="J116" s="59"/>
      <c r="K116" s="59"/>
      <c r="L116" s="59"/>
      <c r="M116" s="59"/>
    </row>
    <row r="117" s="50" customFormat="1" ht="9.95" customHeight="1" spans="1:13">
      <c r="A117" s="99"/>
      <c r="B117" s="100"/>
      <c r="C117" s="99"/>
      <c r="D117" s="101"/>
      <c r="E117" s="102"/>
      <c r="F117" s="59"/>
      <c r="G117" s="103"/>
      <c r="H117" s="59"/>
      <c r="I117" s="59"/>
      <c r="J117" s="59"/>
      <c r="K117" s="59"/>
      <c r="L117" s="59"/>
      <c r="M117" s="59"/>
    </row>
    <row r="118" s="50" customFormat="1" ht="30.95" customHeight="1" spans="1:13">
      <c r="A118" s="104" t="s">
        <v>171</v>
      </c>
      <c r="B118" s="104"/>
      <c r="C118" s="104"/>
      <c r="D118" s="104"/>
      <c r="E118" s="105"/>
      <c r="F118" s="59"/>
      <c r="G118" s="59"/>
      <c r="H118" s="59"/>
      <c r="I118" s="59"/>
      <c r="J118" s="59"/>
      <c r="K118" s="59"/>
      <c r="L118" s="59"/>
      <c r="M118" s="59"/>
    </row>
    <row r="119" s="50" customFormat="1" spans="1:13">
      <c r="A119" s="105"/>
      <c r="B119" s="105"/>
      <c r="C119" s="105"/>
      <c r="D119" s="188"/>
      <c r="E119" s="188"/>
      <c r="F119" s="59"/>
      <c r="G119" s="59"/>
      <c r="H119" s="59"/>
      <c r="I119" s="59"/>
      <c r="J119" s="59"/>
      <c r="K119" s="59"/>
      <c r="L119" s="59"/>
      <c r="M119" s="59"/>
    </row>
    <row r="120" s="50" customFormat="1" spans="1:13">
      <c r="A120" s="105"/>
      <c r="B120" s="105"/>
      <c r="C120" s="105"/>
      <c r="D120" s="188"/>
      <c r="E120" s="188"/>
      <c r="F120" s="59"/>
      <c r="G120" s="59"/>
      <c r="H120" s="59"/>
      <c r="I120" s="59"/>
      <c r="J120" s="59"/>
      <c r="K120" s="59"/>
      <c r="L120" s="59"/>
      <c r="M120" s="59"/>
    </row>
    <row r="121" s="50" customFormat="1" spans="1:13">
      <c r="A121" s="105"/>
      <c r="B121" s="105"/>
      <c r="C121" s="105"/>
      <c r="D121" s="188"/>
      <c r="E121" s="188"/>
      <c r="F121" s="59"/>
      <c r="G121" s="59"/>
      <c r="H121" s="59"/>
      <c r="I121" s="59"/>
      <c r="J121" s="59"/>
      <c r="K121" s="59"/>
      <c r="L121" s="59"/>
      <c r="M121" s="59"/>
    </row>
    <row r="122" s="50" customFormat="1" spans="4:13">
      <c r="D122" s="106"/>
      <c r="E122" s="106"/>
      <c r="F122" s="59"/>
      <c r="G122" s="59"/>
      <c r="H122" s="59"/>
      <c r="I122" s="59"/>
      <c r="J122" s="59"/>
      <c r="K122" s="59"/>
      <c r="L122" s="59"/>
      <c r="M122" s="59"/>
    </row>
    <row r="123" s="50" customFormat="1" spans="4:13">
      <c r="D123" s="189"/>
      <c r="E123" s="106"/>
      <c r="F123" s="59"/>
      <c r="G123" s="59"/>
      <c r="H123" s="59"/>
      <c r="I123" s="59"/>
      <c r="J123" s="59"/>
      <c r="K123" s="59"/>
      <c r="L123" s="59"/>
      <c r="M123" s="59"/>
    </row>
    <row r="124" s="50" customFormat="1" spans="4:13">
      <c r="D124" s="106"/>
      <c r="E124" s="106"/>
      <c r="F124" s="59"/>
      <c r="G124" s="59"/>
      <c r="H124" s="59"/>
      <c r="I124" s="59"/>
      <c r="J124" s="59"/>
      <c r="K124" s="59"/>
      <c r="L124" s="59"/>
      <c r="M124" s="59"/>
    </row>
    <row r="125" s="50" customFormat="1" spans="4:13">
      <c r="D125" s="107"/>
      <c r="F125" s="59"/>
      <c r="G125" s="59"/>
      <c r="H125" s="59"/>
      <c r="I125" s="59"/>
      <c r="J125" s="59"/>
      <c r="K125" s="59"/>
      <c r="L125" s="59"/>
      <c r="M125" s="59"/>
    </row>
    <row r="126" s="50" customFormat="1" spans="4:13">
      <c r="D126" s="107"/>
      <c r="F126" s="59"/>
      <c r="G126" s="59"/>
      <c r="H126" s="59"/>
      <c r="I126" s="59"/>
      <c r="J126" s="59"/>
      <c r="K126" s="59"/>
      <c r="L126" s="59"/>
      <c r="M126" s="59"/>
    </row>
  </sheetData>
  <mergeCells count="37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6:C16"/>
    <mergeCell ref="A22:C22"/>
    <mergeCell ref="A24:D24"/>
    <mergeCell ref="A25:D25"/>
    <mergeCell ref="A31:C31"/>
    <mergeCell ref="A37:C37"/>
    <mergeCell ref="A39:D39"/>
    <mergeCell ref="A40:D40"/>
    <mergeCell ref="A46:C46"/>
    <mergeCell ref="A52:C52"/>
    <mergeCell ref="A54:D54"/>
    <mergeCell ref="A55:D55"/>
    <mergeCell ref="A61:C61"/>
    <mergeCell ref="A67:C67"/>
    <mergeCell ref="A69:D69"/>
    <mergeCell ref="A70:D70"/>
    <mergeCell ref="A76:C76"/>
    <mergeCell ref="A82:C82"/>
    <mergeCell ref="A84:D84"/>
    <mergeCell ref="A85:D85"/>
    <mergeCell ref="A91:C91"/>
    <mergeCell ref="A97:C97"/>
    <mergeCell ref="A99:D99"/>
    <mergeCell ref="A100:D100"/>
    <mergeCell ref="A106:C106"/>
    <mergeCell ref="A112:C112"/>
    <mergeCell ref="A118:D118"/>
  </mergeCells>
  <printOptions horizontalCentered="1"/>
  <pageMargins left="0.251388888888889" right="0.251388888888889" top="0.751388888888889" bottom="0.751388888888889" header="0.298611111111111" footer="0.298611111111111"/>
  <pageSetup paperSize="9" scale="85" orientation="portrait"/>
  <headerFooter/>
  <rowBreaks count="3" manualBreakCount="3">
    <brk id="37" max="3" man="1"/>
    <brk id="67" max="3" man="1"/>
    <brk id="97" max="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5"/>
  <sheetViews>
    <sheetView view="pageBreakPreview" zoomScaleNormal="100" workbookViewId="0">
      <selection activeCell="E1" sqref="E1"/>
    </sheetView>
  </sheetViews>
  <sheetFormatPr defaultColWidth="9.14285714285714" defaultRowHeight="15.75"/>
  <cols>
    <col min="1" max="1" width="12.8571428571429" style="50" customWidth="1"/>
    <col min="2" max="2" width="57.5714285714286" style="50" customWidth="1"/>
    <col min="3" max="3" width="22.2857142857143" style="50" customWidth="1"/>
    <col min="4" max="4" width="31.5714285714286" style="50" customWidth="1"/>
    <col min="5" max="5" width="20.7142857142857" style="50" customWidth="1"/>
    <col min="6" max="6" width="17.1428571428571" style="52" customWidth="1"/>
    <col min="7" max="7" width="11.5714285714286" style="52" customWidth="1"/>
    <col min="8" max="13" width="9.14285714285714" style="52"/>
    <col min="14" max="16384" width="9.14285714285714" style="50"/>
  </cols>
  <sheetData>
    <row r="1" ht="72" customHeight="1" spans="1:5">
      <c r="A1" s="53"/>
      <c r="B1" s="54"/>
      <c r="C1" s="54"/>
      <c r="D1" s="55"/>
      <c r="E1" s="109"/>
    </row>
    <row r="2" ht="23.1" customHeight="1" spans="1:13">
      <c r="A2" s="110" t="s">
        <v>0</v>
      </c>
      <c r="B2" s="111"/>
      <c r="C2" s="111"/>
      <c r="D2" s="112"/>
      <c r="E2" s="113"/>
      <c r="F2" s="59"/>
      <c r="G2" s="59"/>
      <c r="H2" s="59"/>
      <c r="I2" s="59"/>
      <c r="J2" s="59"/>
      <c r="K2" s="59"/>
      <c r="L2" s="59"/>
      <c r="M2" s="59"/>
    </row>
    <row r="3" ht="98.1" customHeight="1" spans="1:13">
      <c r="A3" s="114" t="s">
        <v>2</v>
      </c>
      <c r="B3" s="115"/>
      <c r="C3" s="115"/>
      <c r="D3" s="115"/>
      <c r="E3" s="116"/>
      <c r="F3" s="59"/>
      <c r="G3" s="59"/>
      <c r="H3" s="59"/>
      <c r="I3" s="59"/>
      <c r="J3" s="59"/>
      <c r="K3" s="59"/>
      <c r="L3" s="59"/>
      <c r="M3" s="59"/>
    </row>
    <row r="4" ht="27" customHeight="1" spans="1:13">
      <c r="A4" s="62" t="s">
        <v>64</v>
      </c>
      <c r="B4" s="62"/>
      <c r="C4" s="62"/>
      <c r="D4" s="62"/>
      <c r="E4" s="117"/>
      <c r="F4" s="59"/>
      <c r="G4" s="59"/>
      <c r="H4" s="59"/>
      <c r="I4" s="59"/>
      <c r="J4" s="59"/>
      <c r="K4" s="59"/>
      <c r="L4" s="59"/>
      <c r="M4" s="59"/>
    </row>
    <row r="5" ht="27" customHeight="1" spans="1:13">
      <c r="A5" s="63" t="s">
        <v>65</v>
      </c>
      <c r="B5" s="63"/>
      <c r="C5" s="63"/>
      <c r="D5" s="63"/>
      <c r="E5" s="118"/>
      <c r="F5" s="59"/>
      <c r="G5" s="59"/>
      <c r="H5" s="59"/>
      <c r="I5" s="59"/>
      <c r="J5" s="59"/>
      <c r="K5" s="59"/>
      <c r="L5" s="59"/>
      <c r="M5" s="59"/>
    </row>
    <row r="6" ht="32.1" customHeight="1" spans="1:13">
      <c r="A6" s="63" t="s">
        <v>66</v>
      </c>
      <c r="B6" s="63"/>
      <c r="C6" s="63"/>
      <c r="D6" s="63"/>
      <c r="E6" s="119"/>
      <c r="F6" s="59"/>
      <c r="G6" s="59"/>
      <c r="H6" s="59"/>
      <c r="I6" s="59"/>
      <c r="J6" s="59"/>
      <c r="K6" s="59"/>
      <c r="L6" s="59"/>
      <c r="M6" s="59"/>
    </row>
    <row r="7" ht="33.95" customHeight="1" spans="1:13">
      <c r="A7" s="64" t="s">
        <v>238</v>
      </c>
      <c r="B7" s="64"/>
      <c r="C7" s="64"/>
      <c r="D7" s="64"/>
      <c r="E7" s="119"/>
      <c r="F7" s="59"/>
      <c r="G7" s="59"/>
      <c r="H7" s="59"/>
      <c r="I7" s="59"/>
      <c r="J7" s="59"/>
      <c r="K7" s="59"/>
      <c r="L7" s="59"/>
      <c r="M7" s="59"/>
    </row>
    <row r="8" ht="12" customHeight="1" spans="1:13">
      <c r="A8" s="69"/>
      <c r="B8" s="69"/>
      <c r="C8" s="74" t="s">
        <v>68</v>
      </c>
      <c r="D8" s="74"/>
      <c r="E8" s="120"/>
      <c r="F8" s="59"/>
      <c r="G8" s="59"/>
      <c r="H8" s="59"/>
      <c r="I8" s="59"/>
      <c r="J8" s="59"/>
      <c r="K8" s="59"/>
      <c r="L8" s="59"/>
      <c r="M8" s="59"/>
    </row>
    <row r="9" ht="12" customHeight="1" spans="1:13">
      <c r="A9" s="69"/>
      <c r="B9" s="69"/>
      <c r="C9" s="74"/>
      <c r="D9" s="74"/>
      <c r="E9" s="120"/>
      <c r="F9" s="59"/>
      <c r="G9" s="59"/>
      <c r="H9" s="59"/>
      <c r="I9" s="59"/>
      <c r="J9" s="59"/>
      <c r="K9" s="59"/>
      <c r="L9" s="59"/>
      <c r="M9" s="59"/>
    </row>
    <row r="10" ht="12" customHeight="1" spans="1:13">
      <c r="A10" s="69"/>
      <c r="B10" s="69"/>
      <c r="C10" s="74"/>
      <c r="D10" s="74"/>
      <c r="E10" s="120"/>
      <c r="F10" s="59"/>
      <c r="G10" s="59"/>
      <c r="H10" s="59"/>
      <c r="I10" s="59"/>
      <c r="J10" s="59"/>
      <c r="K10" s="59"/>
      <c r="L10" s="59"/>
      <c r="M10" s="59"/>
    </row>
    <row r="11" ht="12" customHeight="1" spans="1:13">
      <c r="A11" s="69"/>
      <c r="B11" s="69"/>
      <c r="C11" s="74"/>
      <c r="D11" s="74"/>
      <c r="E11" s="120"/>
      <c r="F11" s="59"/>
      <c r="G11" s="59"/>
      <c r="H11" s="59"/>
      <c r="I11" s="59"/>
      <c r="J11" s="59"/>
      <c r="K11" s="59"/>
      <c r="L11" s="59"/>
      <c r="M11" s="59"/>
    </row>
    <row r="12" ht="12" customHeight="1" spans="1:13">
      <c r="A12" s="69"/>
      <c r="B12" s="69"/>
      <c r="C12" s="74"/>
      <c r="D12" s="74"/>
      <c r="E12" s="120"/>
      <c r="F12" s="59"/>
      <c r="G12" s="59"/>
      <c r="H12" s="59"/>
      <c r="I12" s="59"/>
      <c r="J12" s="59"/>
      <c r="K12" s="59"/>
      <c r="L12" s="59"/>
      <c r="M12" s="59"/>
    </row>
    <row r="13" ht="12" customHeight="1" spans="1:13">
      <c r="A13" s="69"/>
      <c r="B13" s="69"/>
      <c r="C13" s="74"/>
      <c r="D13" s="74"/>
      <c r="E13" s="120"/>
      <c r="F13" s="59"/>
      <c r="G13" s="59"/>
      <c r="H13" s="59"/>
      <c r="I13" s="59"/>
      <c r="J13" s="59"/>
      <c r="K13" s="59"/>
      <c r="L13" s="59"/>
      <c r="M13" s="59"/>
    </row>
    <row r="14" ht="12" customHeight="1" spans="1:13">
      <c r="A14" s="69"/>
      <c r="B14" s="69"/>
      <c r="C14" s="74"/>
      <c r="D14" s="74"/>
      <c r="E14" s="120"/>
      <c r="F14" s="59"/>
      <c r="G14" s="59"/>
      <c r="H14" s="59"/>
      <c r="I14" s="59"/>
      <c r="J14" s="59"/>
      <c r="K14" s="59"/>
      <c r="L14" s="59"/>
      <c r="M14" s="59"/>
    </row>
    <row r="15" ht="12" customHeight="1" spans="1:13">
      <c r="A15" s="69"/>
      <c r="B15" s="69"/>
      <c r="C15" s="74"/>
      <c r="D15" s="74"/>
      <c r="E15" s="120"/>
      <c r="F15" s="59"/>
      <c r="G15" s="59"/>
      <c r="H15" s="59"/>
      <c r="I15" s="59"/>
      <c r="J15" s="59"/>
      <c r="K15" s="59"/>
      <c r="L15" s="59"/>
      <c r="M15" s="59"/>
    </row>
    <row r="16" ht="12" customHeight="1" spans="1:13">
      <c r="A16" s="69"/>
      <c r="B16" s="69"/>
      <c r="C16" s="74"/>
      <c r="D16" s="74"/>
      <c r="E16" s="120"/>
      <c r="F16" s="59"/>
      <c r="G16" s="59"/>
      <c r="H16" s="59"/>
      <c r="I16" s="59"/>
      <c r="J16" s="59"/>
      <c r="K16" s="59"/>
      <c r="L16" s="59"/>
      <c r="M16" s="59"/>
    </row>
    <row r="17" ht="12" customHeight="1" spans="1:13">
      <c r="A17" s="69"/>
      <c r="B17" s="69"/>
      <c r="C17" s="74"/>
      <c r="D17" s="74"/>
      <c r="E17" s="120"/>
      <c r="F17" s="59"/>
      <c r="G17" s="59"/>
      <c r="H17" s="59"/>
      <c r="I17" s="59"/>
      <c r="J17" s="59"/>
      <c r="K17" s="59"/>
      <c r="L17" s="59"/>
      <c r="M17" s="59"/>
    </row>
    <row r="18" ht="12" customHeight="1" spans="1:13">
      <c r="A18" s="69"/>
      <c r="B18" s="69"/>
      <c r="C18" s="74"/>
      <c r="D18" s="74"/>
      <c r="E18" s="120"/>
      <c r="F18" s="59"/>
      <c r="G18" s="59"/>
      <c r="H18" s="59"/>
      <c r="I18" s="59"/>
      <c r="J18" s="59"/>
      <c r="K18" s="59"/>
      <c r="L18" s="59"/>
      <c r="M18" s="59"/>
    </row>
    <row r="19" ht="12" customHeight="1" spans="1:13">
      <c r="A19" s="69"/>
      <c r="B19" s="69"/>
      <c r="C19" s="74"/>
      <c r="D19" s="74"/>
      <c r="E19" s="120"/>
      <c r="F19" s="59"/>
      <c r="G19" s="121"/>
      <c r="H19" s="59"/>
      <c r="I19" s="59"/>
      <c r="J19" s="59"/>
      <c r="K19" s="59"/>
      <c r="L19" s="59"/>
      <c r="M19" s="59"/>
    </row>
    <row r="20" ht="12" customHeight="1" spans="1:13">
      <c r="A20" s="69"/>
      <c r="B20" s="69"/>
      <c r="C20" s="74"/>
      <c r="D20" s="74"/>
      <c r="E20" s="120"/>
      <c r="F20" s="59"/>
      <c r="G20" s="59"/>
      <c r="H20" s="59"/>
      <c r="I20" s="59"/>
      <c r="J20" s="59"/>
      <c r="K20" s="59"/>
      <c r="L20" s="59"/>
      <c r="M20" s="59"/>
    </row>
    <row r="21" ht="12" customHeight="1" spans="1:13">
      <c r="A21" s="69"/>
      <c r="B21" s="69"/>
      <c r="C21" s="74"/>
      <c r="D21" s="74"/>
      <c r="E21" s="120"/>
      <c r="F21" s="59"/>
      <c r="G21" s="59"/>
      <c r="H21" s="59"/>
      <c r="I21" s="59"/>
      <c r="J21" s="59"/>
      <c r="K21" s="59"/>
      <c r="L21" s="59"/>
      <c r="M21" s="59"/>
    </row>
    <row r="22" ht="12" customHeight="1" spans="1:13">
      <c r="A22" s="69"/>
      <c r="B22" s="69"/>
      <c r="C22" s="74"/>
      <c r="D22" s="74"/>
      <c r="E22" s="120"/>
      <c r="F22" s="59"/>
      <c r="G22" s="59"/>
      <c r="H22" s="59"/>
      <c r="I22" s="59"/>
      <c r="J22" s="59"/>
      <c r="K22" s="59"/>
      <c r="L22" s="59"/>
      <c r="M22" s="59"/>
    </row>
    <row r="23" ht="41.1" customHeight="1" spans="1:13">
      <c r="A23" s="122" t="s">
        <v>239</v>
      </c>
      <c r="B23" s="122"/>
      <c r="C23" s="122"/>
      <c r="D23" s="122"/>
      <c r="E23" s="123"/>
      <c r="F23" s="59"/>
      <c r="G23" s="59"/>
      <c r="H23" s="59"/>
      <c r="I23" s="59"/>
      <c r="J23" s="59"/>
      <c r="K23" s="59"/>
      <c r="L23" s="59"/>
      <c r="M23" s="59"/>
    </row>
    <row r="24" ht="21.95" customHeight="1" spans="1:13">
      <c r="A24" s="88" t="s">
        <v>70</v>
      </c>
      <c r="B24" s="89" t="s">
        <v>71</v>
      </c>
      <c r="C24" s="90"/>
      <c r="D24" s="124"/>
      <c r="E24" s="125"/>
      <c r="F24" s="59"/>
      <c r="G24" s="59"/>
      <c r="H24" s="59"/>
      <c r="I24" s="59"/>
      <c r="J24" s="59"/>
      <c r="K24" s="59"/>
      <c r="L24" s="59"/>
      <c r="M24" s="59"/>
    </row>
    <row r="25" ht="6" customHeight="1" spans="1:13">
      <c r="A25" s="69"/>
      <c r="B25" s="70"/>
      <c r="C25" s="69"/>
      <c r="D25" s="70"/>
      <c r="E25" s="105"/>
      <c r="F25" s="59"/>
      <c r="G25" s="59"/>
      <c r="H25" s="59"/>
      <c r="I25" s="59"/>
      <c r="J25" s="59"/>
      <c r="K25" s="59"/>
      <c r="L25" s="59"/>
      <c r="M25" s="59"/>
    </row>
    <row r="26" ht="23.1" customHeight="1" spans="1:13">
      <c r="A26" s="69" t="s">
        <v>72</v>
      </c>
      <c r="B26" s="71" t="s">
        <v>73</v>
      </c>
      <c r="C26" s="69" t="s">
        <v>74</v>
      </c>
      <c r="D26" s="72">
        <v>183523</v>
      </c>
      <c r="E26" s="126"/>
      <c r="F26" s="127"/>
      <c r="G26" s="98"/>
      <c r="H26" s="128"/>
      <c r="I26" s="59"/>
      <c r="J26" s="59"/>
      <c r="K26" s="59"/>
      <c r="L26" s="59"/>
      <c r="M26" s="59"/>
    </row>
    <row r="27" ht="23.1" customHeight="1" spans="1:13">
      <c r="A27" s="69" t="s">
        <v>75</v>
      </c>
      <c r="B27" s="71" t="s">
        <v>76</v>
      </c>
      <c r="C27" s="69" t="s">
        <v>77</v>
      </c>
      <c r="D27" s="129">
        <f>12*4</f>
        <v>48</v>
      </c>
      <c r="E27" s="130"/>
      <c r="F27" s="59"/>
      <c r="G27" s="98"/>
      <c r="H27" s="128"/>
      <c r="I27" s="59"/>
      <c r="J27" s="59"/>
      <c r="K27" s="59"/>
      <c r="L27" s="59"/>
      <c r="M27" s="59"/>
    </row>
    <row r="28" ht="21.95" customHeight="1" spans="1:13">
      <c r="A28" s="69" t="s">
        <v>78</v>
      </c>
      <c r="B28" s="74" t="s">
        <v>184</v>
      </c>
      <c r="C28" s="69" t="s">
        <v>80</v>
      </c>
      <c r="D28" s="75">
        <v>0.25</v>
      </c>
      <c r="E28" s="131"/>
      <c r="F28" s="59"/>
      <c r="G28" s="128"/>
      <c r="H28" s="59"/>
      <c r="I28" s="59"/>
      <c r="J28" s="59"/>
      <c r="K28" s="59"/>
      <c r="L28" s="59"/>
      <c r="M28" s="59"/>
    </row>
    <row r="29" ht="20.1" customHeight="1" spans="1:13">
      <c r="A29" s="77" t="s">
        <v>81</v>
      </c>
      <c r="B29" s="77"/>
      <c r="C29" s="69" t="s">
        <v>82</v>
      </c>
      <c r="D29" s="78">
        <f>ROUND((D26/D27)-((D26*D28)/D27),2)</f>
        <v>2867.55</v>
      </c>
      <c r="E29" s="132"/>
      <c r="F29" s="133"/>
      <c r="G29" s="94"/>
      <c r="H29" s="98"/>
      <c r="I29" s="59"/>
      <c r="J29" s="59"/>
      <c r="K29" s="59"/>
      <c r="L29" s="59"/>
      <c r="M29" s="59"/>
    </row>
    <row r="30" ht="6.95" customHeight="1" spans="1:13">
      <c r="A30" s="69"/>
      <c r="B30" s="70"/>
      <c r="C30" s="69"/>
      <c r="D30" s="70"/>
      <c r="E30" s="105"/>
      <c r="F30" s="59"/>
      <c r="G30" s="128"/>
      <c r="H30" s="59"/>
      <c r="I30" s="59"/>
      <c r="J30" s="59"/>
      <c r="K30" s="59"/>
      <c r="L30" s="59"/>
      <c r="M30" s="59"/>
    </row>
    <row r="31" ht="21.95" customHeight="1" spans="1:13">
      <c r="A31" s="88" t="s">
        <v>83</v>
      </c>
      <c r="B31" s="89" t="s">
        <v>84</v>
      </c>
      <c r="C31" s="90"/>
      <c r="D31" s="124"/>
      <c r="E31" s="125"/>
      <c r="F31" s="59"/>
      <c r="G31" s="59"/>
      <c r="H31" s="59"/>
      <c r="I31" s="59"/>
      <c r="J31" s="59"/>
      <c r="K31" s="59"/>
      <c r="L31" s="59"/>
      <c r="M31" s="59"/>
    </row>
    <row r="32" ht="8.1" customHeight="1" spans="1:13">
      <c r="A32" s="69"/>
      <c r="B32" s="70"/>
      <c r="C32" s="69"/>
      <c r="D32" s="70"/>
      <c r="E32" s="105"/>
      <c r="F32" s="59"/>
      <c r="G32" s="98"/>
      <c r="H32" s="59"/>
      <c r="I32" s="59"/>
      <c r="J32" s="59"/>
      <c r="K32" s="59"/>
      <c r="L32" s="59"/>
      <c r="M32" s="59"/>
    </row>
    <row r="33" ht="21.95" customHeight="1" spans="1:13">
      <c r="A33" s="69" t="s">
        <v>85</v>
      </c>
      <c r="B33" s="70" t="s">
        <v>86</v>
      </c>
      <c r="C33" s="69" t="s">
        <v>87</v>
      </c>
      <c r="D33" s="80">
        <f>D28/D27</f>
        <v>0.00520833333333333</v>
      </c>
      <c r="E33" s="134"/>
      <c r="F33" s="59"/>
      <c r="G33" s="98"/>
      <c r="H33" s="59"/>
      <c r="I33" s="59"/>
      <c r="J33" s="59"/>
      <c r="K33" s="59"/>
      <c r="L33" s="59"/>
      <c r="M33" s="59"/>
    </row>
    <row r="34" ht="21.95" customHeight="1" spans="1:13">
      <c r="A34" s="77" t="s">
        <v>81</v>
      </c>
      <c r="B34" s="77"/>
      <c r="C34" s="69" t="s">
        <v>88</v>
      </c>
      <c r="D34" s="81">
        <f>ROUND(D26*D33,2)</f>
        <v>955.85</v>
      </c>
      <c r="E34" s="135"/>
      <c r="F34" s="59"/>
      <c r="G34" s="59"/>
      <c r="H34" s="59"/>
      <c r="I34" s="59"/>
      <c r="J34" s="59"/>
      <c r="K34" s="59"/>
      <c r="L34" s="59"/>
      <c r="M34" s="59"/>
    </row>
    <row r="35" ht="9" customHeight="1" spans="1:13">
      <c r="A35" s="69"/>
      <c r="B35" s="70"/>
      <c r="C35" s="69"/>
      <c r="D35" s="70"/>
      <c r="E35" s="105"/>
      <c r="F35" s="59"/>
      <c r="G35" s="59"/>
      <c r="H35" s="59"/>
      <c r="I35" s="59"/>
      <c r="J35" s="59"/>
      <c r="K35" s="59"/>
      <c r="L35" s="59"/>
      <c r="M35" s="59"/>
    </row>
    <row r="36" ht="21" customHeight="1" spans="1:13">
      <c r="A36" s="88" t="s">
        <v>89</v>
      </c>
      <c r="B36" s="89" t="s">
        <v>90</v>
      </c>
      <c r="C36" s="90"/>
      <c r="D36" s="124"/>
      <c r="E36" s="125"/>
      <c r="F36" s="59"/>
      <c r="G36" s="59"/>
      <c r="H36" s="59"/>
      <c r="I36" s="59"/>
      <c r="J36" s="59"/>
      <c r="K36" s="59"/>
      <c r="L36" s="59"/>
      <c r="M36" s="59"/>
    </row>
    <row r="37" ht="9" customHeight="1" spans="1:13">
      <c r="A37" s="69"/>
      <c r="B37" s="70"/>
      <c r="C37" s="69"/>
      <c r="D37" s="70"/>
      <c r="E37" s="105"/>
      <c r="F37" s="59"/>
      <c r="G37" s="59"/>
      <c r="H37" s="59"/>
      <c r="I37" s="59"/>
      <c r="J37" s="59"/>
      <c r="K37" s="59"/>
      <c r="L37" s="59"/>
      <c r="M37" s="59"/>
    </row>
    <row r="38" ht="30.95" hidden="1" customHeight="1" spans="1:13">
      <c r="A38" s="69" t="s">
        <v>91</v>
      </c>
      <c r="B38" s="136" t="s">
        <v>92</v>
      </c>
      <c r="C38" s="69" t="s">
        <v>93</v>
      </c>
      <c r="D38" s="137"/>
      <c r="E38" s="138"/>
      <c r="F38" s="59"/>
      <c r="G38" s="59"/>
      <c r="H38" s="59"/>
      <c r="I38" s="59"/>
      <c r="J38" s="59"/>
      <c r="K38" s="59"/>
      <c r="L38" s="59"/>
      <c r="M38" s="59"/>
    </row>
    <row r="39" ht="30.95" hidden="1" customHeight="1" spans="1:13">
      <c r="A39" s="69"/>
      <c r="B39" s="70" t="s">
        <v>94</v>
      </c>
      <c r="C39" s="69"/>
      <c r="D39" s="137"/>
      <c r="E39" s="138"/>
      <c r="F39" s="59"/>
      <c r="G39" s="59"/>
      <c r="H39" s="59"/>
      <c r="I39" s="59"/>
      <c r="J39" s="59"/>
      <c r="K39" s="59"/>
      <c r="L39" s="59"/>
      <c r="M39" s="59"/>
    </row>
    <row r="40" ht="21" customHeight="1" spans="1:13">
      <c r="A40" s="69" t="s">
        <v>91</v>
      </c>
      <c r="B40" s="139" t="s">
        <v>95</v>
      </c>
      <c r="C40" s="69" t="s">
        <v>96</v>
      </c>
      <c r="D40" s="137">
        <f>ROUND(39*4,2)</f>
        <v>156</v>
      </c>
      <c r="E40" s="138"/>
      <c r="F40" s="59"/>
      <c r="G40" s="59"/>
      <c r="H40" s="59"/>
      <c r="I40" s="59"/>
      <c r="J40" s="59"/>
      <c r="K40" s="59"/>
      <c r="L40" s="59"/>
      <c r="M40" s="59"/>
    </row>
    <row r="41" ht="21" customHeight="1" spans="1:13">
      <c r="A41" s="69" t="s">
        <v>97</v>
      </c>
      <c r="B41" s="70" t="s">
        <v>98</v>
      </c>
      <c r="C41" s="69" t="s">
        <v>99</v>
      </c>
      <c r="D41" s="137">
        <f>ROUND(D26*0.01,2)</f>
        <v>1835.23</v>
      </c>
      <c r="E41" s="138"/>
      <c r="F41" s="59"/>
      <c r="G41" s="59"/>
      <c r="H41" s="59"/>
      <c r="I41" s="59"/>
      <c r="J41" s="59"/>
      <c r="K41" s="59"/>
      <c r="L41" s="59"/>
      <c r="M41" s="59"/>
    </row>
    <row r="42" ht="21" customHeight="1" spans="1:13">
      <c r="A42" s="77" t="s">
        <v>81</v>
      </c>
      <c r="B42" s="77"/>
      <c r="C42" s="140" t="s">
        <v>100</v>
      </c>
      <c r="D42" s="81">
        <f>SUM(D38:D41)</f>
        <v>1991.23</v>
      </c>
      <c r="E42" s="135"/>
      <c r="F42" s="59"/>
      <c r="G42" s="59"/>
      <c r="H42" s="59"/>
      <c r="I42" s="59"/>
      <c r="J42" s="59"/>
      <c r="K42" s="59"/>
      <c r="L42" s="59"/>
      <c r="M42" s="59"/>
    </row>
    <row r="43" ht="9" customHeight="1" spans="1:13">
      <c r="A43" s="69"/>
      <c r="B43" s="70"/>
      <c r="C43" s="69"/>
      <c r="D43" s="70"/>
      <c r="E43" s="105"/>
      <c r="F43" s="59"/>
      <c r="G43" s="59"/>
      <c r="H43" s="59"/>
      <c r="I43" s="59"/>
      <c r="J43" s="59"/>
      <c r="K43" s="59"/>
      <c r="L43" s="59"/>
      <c r="M43" s="59"/>
    </row>
    <row r="44" ht="27" customHeight="1" spans="1:13">
      <c r="A44" s="122" t="s">
        <v>101</v>
      </c>
      <c r="B44" s="122"/>
      <c r="C44" s="122"/>
      <c r="D44" s="122"/>
      <c r="E44" s="141"/>
      <c r="F44" s="59"/>
      <c r="G44" s="59"/>
      <c r="H44" s="59"/>
      <c r="I44" s="59"/>
      <c r="J44" s="59"/>
      <c r="K44" s="59"/>
      <c r="L44" s="59"/>
      <c r="M44" s="59"/>
    </row>
    <row r="45" ht="9" customHeight="1" spans="1:13">
      <c r="A45" s="69"/>
      <c r="B45" s="70"/>
      <c r="C45" s="69"/>
      <c r="D45" s="70"/>
      <c r="E45" s="105"/>
      <c r="F45" s="59"/>
      <c r="G45" s="59"/>
      <c r="H45" s="59"/>
      <c r="I45" s="59"/>
      <c r="J45" s="59"/>
      <c r="K45" s="59"/>
      <c r="L45" s="59"/>
      <c r="M45" s="59"/>
    </row>
    <row r="46" ht="18" customHeight="1" spans="1:13">
      <c r="A46" s="88" t="s">
        <v>102</v>
      </c>
      <c r="B46" s="89" t="s">
        <v>103</v>
      </c>
      <c r="C46" s="90"/>
      <c r="D46" s="124"/>
      <c r="E46" s="125"/>
      <c r="F46" s="59"/>
      <c r="G46" s="59"/>
      <c r="H46" s="59"/>
      <c r="I46" s="59"/>
      <c r="J46" s="59"/>
      <c r="K46" s="59"/>
      <c r="L46" s="59"/>
      <c r="M46" s="59"/>
    </row>
    <row r="47" ht="9" customHeight="1" spans="1:13">
      <c r="A47" s="69"/>
      <c r="B47" s="70"/>
      <c r="C47" s="69"/>
      <c r="D47" s="70"/>
      <c r="E47" s="105"/>
      <c r="F47" s="59"/>
      <c r="G47" s="59"/>
      <c r="H47" s="59"/>
      <c r="I47" s="59"/>
      <c r="J47" s="59"/>
      <c r="K47" s="59"/>
      <c r="L47" s="59"/>
      <c r="M47" s="59"/>
    </row>
    <row r="48" ht="21.95" customHeight="1" spans="1:13">
      <c r="A48" s="69" t="s">
        <v>104</v>
      </c>
      <c r="B48" s="142" t="s">
        <v>105</v>
      </c>
      <c r="C48" s="69" t="s">
        <v>106</v>
      </c>
      <c r="D48" s="143">
        <v>0</v>
      </c>
      <c r="E48" s="144"/>
      <c r="F48" s="145"/>
      <c r="G48" s="59"/>
      <c r="H48" s="59"/>
      <c r="I48" s="59"/>
      <c r="J48" s="59"/>
      <c r="K48" s="59"/>
      <c r="L48" s="59"/>
      <c r="M48" s="59"/>
    </row>
    <row r="49" ht="21.95" customHeight="1" spans="1:13">
      <c r="A49" s="69" t="s">
        <v>107</v>
      </c>
      <c r="B49" s="70" t="s">
        <v>108</v>
      </c>
      <c r="C49" s="69" t="s">
        <v>109</v>
      </c>
      <c r="D49" s="76">
        <v>12</v>
      </c>
      <c r="E49" s="146"/>
      <c r="F49" s="147"/>
      <c r="G49" s="59"/>
      <c r="H49" s="59"/>
      <c r="I49" s="59"/>
      <c r="J49" s="59"/>
      <c r="K49" s="59"/>
      <c r="L49" s="59"/>
      <c r="M49" s="59"/>
    </row>
    <row r="50" ht="21.95" customHeight="1" spans="1:13">
      <c r="A50" s="69" t="s">
        <v>110</v>
      </c>
      <c r="B50" s="71" t="s">
        <v>111</v>
      </c>
      <c r="C50" s="69" t="s">
        <v>112</v>
      </c>
      <c r="D50" s="148">
        <v>8.9</v>
      </c>
      <c r="E50" s="149"/>
      <c r="F50" s="150"/>
      <c r="G50" s="59"/>
      <c r="H50" s="59"/>
      <c r="I50" s="59"/>
      <c r="J50" s="59"/>
      <c r="K50" s="59"/>
      <c r="L50" s="59"/>
      <c r="M50" s="59"/>
    </row>
    <row r="51" ht="21.95" customHeight="1" spans="1:13">
      <c r="A51" s="69" t="s">
        <v>113</v>
      </c>
      <c r="B51" s="71" t="s">
        <v>114</v>
      </c>
      <c r="C51" s="69" t="s">
        <v>115</v>
      </c>
      <c r="D51" s="151">
        <f>17855.93/3</f>
        <v>5951.97666666667</v>
      </c>
      <c r="E51" s="152"/>
      <c r="F51" s="153"/>
      <c r="G51" s="154"/>
      <c r="H51" s="59"/>
      <c r="I51" s="59"/>
      <c r="J51" s="59"/>
      <c r="K51" s="59"/>
      <c r="L51" s="59"/>
      <c r="M51" s="59"/>
    </row>
    <row r="52" ht="21.95" customHeight="1" spans="1:13">
      <c r="A52" s="77" t="s">
        <v>81</v>
      </c>
      <c r="B52" s="77"/>
      <c r="C52" s="69" t="s">
        <v>116</v>
      </c>
      <c r="D52" s="155">
        <f>ROUND((D51/D50)*D48,2)</f>
        <v>0</v>
      </c>
      <c r="E52" s="156"/>
      <c r="F52" s="59"/>
      <c r="G52" s="59"/>
      <c r="H52" s="59"/>
      <c r="I52" s="59"/>
      <c r="J52" s="59"/>
      <c r="K52" s="59"/>
      <c r="L52" s="59"/>
      <c r="M52" s="59"/>
    </row>
    <row r="53" ht="6.95" customHeight="1" spans="1:13">
      <c r="A53" s="140"/>
      <c r="B53" s="157"/>
      <c r="C53" s="140"/>
      <c r="D53" s="157"/>
      <c r="E53" s="158"/>
      <c r="F53" s="59"/>
      <c r="G53" s="59"/>
      <c r="H53" s="59"/>
      <c r="I53" s="59"/>
      <c r="J53" s="59"/>
      <c r="K53" s="59"/>
      <c r="L53" s="59"/>
      <c r="M53" s="59"/>
    </row>
    <row r="54" ht="20.1" customHeight="1" spans="1:13">
      <c r="A54" s="88" t="s">
        <v>117</v>
      </c>
      <c r="B54" s="89" t="s">
        <v>118</v>
      </c>
      <c r="C54" s="90"/>
      <c r="D54" s="124"/>
      <c r="E54" s="125"/>
      <c r="F54" s="59"/>
      <c r="G54" s="59"/>
      <c r="H54" s="59"/>
      <c r="I54" s="59"/>
      <c r="J54" s="59"/>
      <c r="K54" s="59"/>
      <c r="L54" s="59"/>
      <c r="M54" s="59"/>
    </row>
    <row r="55" ht="6.95" customHeight="1" spans="1:13">
      <c r="A55" s="69"/>
      <c r="B55" s="70"/>
      <c r="C55" s="69"/>
      <c r="D55" s="70"/>
      <c r="E55" s="105"/>
      <c r="F55" s="59"/>
      <c r="G55" s="59"/>
      <c r="H55" s="59"/>
      <c r="I55" s="59"/>
      <c r="J55" s="59"/>
      <c r="K55" s="59"/>
      <c r="L55" s="59"/>
      <c r="M55" s="59"/>
    </row>
    <row r="56" ht="21.95" customHeight="1" spans="1:13">
      <c r="A56" s="69" t="s">
        <v>119</v>
      </c>
      <c r="B56" s="70" t="s">
        <v>120</v>
      </c>
      <c r="C56" s="69" t="s">
        <v>121</v>
      </c>
      <c r="D56" s="159">
        <v>10000</v>
      </c>
      <c r="E56" s="160"/>
      <c r="F56" s="153"/>
      <c r="G56" s="59"/>
      <c r="H56" s="59"/>
      <c r="I56" s="59"/>
      <c r="J56" s="59"/>
      <c r="K56" s="59"/>
      <c r="L56" s="59"/>
      <c r="M56" s="59"/>
    </row>
    <row r="57" ht="21.95" customHeight="1" spans="1:13">
      <c r="A57" s="69" t="s">
        <v>122</v>
      </c>
      <c r="B57" s="70" t="s">
        <v>123</v>
      </c>
      <c r="C57" s="69" t="s">
        <v>124</v>
      </c>
      <c r="D57" s="148">
        <v>48.99</v>
      </c>
      <c r="E57" s="149"/>
      <c r="F57" s="150"/>
      <c r="G57" s="59"/>
      <c r="H57" s="59"/>
      <c r="I57" s="59"/>
      <c r="J57" s="59"/>
      <c r="K57" s="59"/>
      <c r="L57" s="59"/>
      <c r="M57" s="59"/>
    </row>
    <row r="58" ht="21.95" customHeight="1" spans="1:13">
      <c r="A58" s="69" t="s">
        <v>122</v>
      </c>
      <c r="B58" s="70" t="s">
        <v>125</v>
      </c>
      <c r="C58" s="69" t="s">
        <v>124</v>
      </c>
      <c r="D58" s="148">
        <v>46.05</v>
      </c>
      <c r="E58" s="149"/>
      <c r="F58" s="150"/>
      <c r="G58" s="59"/>
      <c r="H58" s="59"/>
      <c r="I58" s="59"/>
      <c r="J58" s="59"/>
      <c r="K58" s="59"/>
      <c r="L58" s="59"/>
      <c r="M58" s="59"/>
    </row>
    <row r="59" ht="21.95" customHeight="1" spans="1:13">
      <c r="A59" s="69" t="s">
        <v>126</v>
      </c>
      <c r="B59" s="70" t="s">
        <v>127</v>
      </c>
      <c r="C59" s="69" t="s">
        <v>128</v>
      </c>
      <c r="D59" s="161">
        <v>6</v>
      </c>
      <c r="E59" s="162"/>
      <c r="F59" s="150"/>
      <c r="G59" s="59"/>
      <c r="H59" s="59"/>
      <c r="I59" s="59"/>
      <c r="J59" s="59"/>
      <c r="K59" s="59"/>
      <c r="L59" s="59"/>
      <c r="M59" s="59"/>
    </row>
    <row r="60" ht="21.95" customHeight="1" spans="1:13">
      <c r="A60" s="69" t="s">
        <v>129</v>
      </c>
      <c r="B60" s="70" t="s">
        <v>130</v>
      </c>
      <c r="C60" s="69" t="s">
        <v>131</v>
      </c>
      <c r="D60" s="161">
        <f>SUM(D61)</f>
        <v>7.14</v>
      </c>
      <c r="E60" s="162"/>
      <c r="F60" s="150"/>
      <c r="G60" s="59"/>
      <c r="H60" s="59"/>
      <c r="I60" s="59"/>
      <c r="J60" s="59"/>
      <c r="K60" s="59"/>
      <c r="L60" s="59"/>
      <c r="M60" s="59"/>
    </row>
    <row r="61" ht="21.95" customHeight="1" spans="1:13">
      <c r="A61" s="69" t="s">
        <v>129</v>
      </c>
      <c r="B61" s="70" t="s">
        <v>132</v>
      </c>
      <c r="C61" s="69" t="s">
        <v>131</v>
      </c>
      <c r="D61" s="161">
        <f>ROUND(D51*D49/D56,2)</f>
        <v>7.14</v>
      </c>
      <c r="E61" s="162"/>
      <c r="F61" s="150"/>
      <c r="G61" s="59"/>
      <c r="H61" s="59"/>
      <c r="I61" s="59"/>
      <c r="J61" s="59"/>
      <c r="K61" s="59"/>
      <c r="L61" s="59"/>
      <c r="M61" s="59"/>
    </row>
    <row r="62" ht="21.95" customHeight="1" spans="1:13">
      <c r="A62" s="77" t="s">
        <v>81</v>
      </c>
      <c r="B62" s="77"/>
      <c r="C62" s="69" t="s">
        <v>133</v>
      </c>
      <c r="D62" s="81">
        <f>ROUND(((D57*D60)+(D58*D59))*D61/D49,2)</f>
        <v>372.52</v>
      </c>
      <c r="E62" s="135"/>
      <c r="F62" s="98"/>
      <c r="G62" s="59"/>
      <c r="H62" s="59"/>
      <c r="I62" s="59"/>
      <c r="J62" s="59"/>
      <c r="K62" s="59"/>
      <c r="L62" s="59"/>
      <c r="M62" s="59"/>
    </row>
    <row r="63" ht="8.1" customHeight="1" spans="1:13">
      <c r="A63" s="69"/>
      <c r="B63" s="70"/>
      <c r="C63" s="69"/>
      <c r="D63" s="70"/>
      <c r="E63" s="105"/>
      <c r="F63" s="59"/>
      <c r="G63" s="59"/>
      <c r="H63" s="59"/>
      <c r="I63" s="59"/>
      <c r="J63" s="59"/>
      <c r="K63" s="59"/>
      <c r="L63" s="59"/>
      <c r="M63" s="59"/>
    </row>
    <row r="64" ht="21" customHeight="1" spans="1:13">
      <c r="A64" s="88" t="s">
        <v>134</v>
      </c>
      <c r="B64" s="89" t="s">
        <v>135</v>
      </c>
      <c r="C64" s="90"/>
      <c r="D64" s="124"/>
      <c r="E64" s="125"/>
      <c r="F64" s="59"/>
      <c r="G64" s="59"/>
      <c r="H64" s="59"/>
      <c r="I64" s="59"/>
      <c r="J64" s="59"/>
      <c r="K64" s="59"/>
      <c r="L64" s="59"/>
      <c r="M64" s="59"/>
    </row>
    <row r="65" ht="6" customHeight="1" spans="1:13">
      <c r="A65" s="69"/>
      <c r="B65" s="70"/>
      <c r="C65" s="69"/>
      <c r="D65" s="70"/>
      <c r="E65" s="105"/>
      <c r="F65" s="59"/>
      <c r="G65" s="59"/>
      <c r="H65" s="59"/>
      <c r="I65" s="59"/>
      <c r="J65" s="59"/>
      <c r="K65" s="59"/>
      <c r="L65" s="59"/>
      <c r="M65" s="59"/>
    </row>
    <row r="66" ht="21.95" customHeight="1" spans="1:13">
      <c r="A66" s="69" t="s">
        <v>136</v>
      </c>
      <c r="B66" s="70" t="s">
        <v>137</v>
      </c>
      <c r="C66" s="69" t="s">
        <v>138</v>
      </c>
      <c r="D66" s="159">
        <v>4</v>
      </c>
      <c r="E66" s="160"/>
      <c r="F66" s="59"/>
      <c r="G66" s="59"/>
      <c r="H66" s="59"/>
      <c r="I66" s="59"/>
      <c r="J66" s="59"/>
      <c r="K66" s="59"/>
      <c r="L66" s="59"/>
      <c r="M66" s="59"/>
    </row>
    <row r="67" ht="21.95" customHeight="1" spans="1:13">
      <c r="A67" s="69" t="s">
        <v>139</v>
      </c>
      <c r="B67" s="70" t="s">
        <v>140</v>
      </c>
      <c r="C67" s="69" t="s">
        <v>141</v>
      </c>
      <c r="D67" s="163">
        <v>50000</v>
      </c>
      <c r="E67" s="164"/>
      <c r="F67" s="59"/>
      <c r="G67" s="59"/>
      <c r="H67" s="59"/>
      <c r="I67" s="59"/>
      <c r="J67" s="59"/>
      <c r="K67" s="59"/>
      <c r="L67" s="59"/>
      <c r="M67" s="59"/>
    </row>
    <row r="68" ht="21.95" customHeight="1" spans="1:13">
      <c r="A68" s="69" t="s">
        <v>142</v>
      </c>
      <c r="B68" s="70" t="s">
        <v>143</v>
      </c>
      <c r="C68" s="69" t="s">
        <v>144</v>
      </c>
      <c r="D68" s="163">
        <f>ROUND(D51*D49,2)</f>
        <v>71423.72</v>
      </c>
      <c r="E68" s="164"/>
      <c r="F68" s="59"/>
      <c r="G68" s="59"/>
      <c r="H68" s="59"/>
      <c r="I68" s="59"/>
      <c r="J68" s="59"/>
      <c r="K68" s="59"/>
      <c r="L68" s="59"/>
      <c r="M68" s="59"/>
    </row>
    <row r="69" ht="21.95" customHeight="1" spans="1:13">
      <c r="A69" s="69" t="s">
        <v>145</v>
      </c>
      <c r="B69" s="70" t="s">
        <v>146</v>
      </c>
      <c r="C69" s="69" t="s">
        <v>147</v>
      </c>
      <c r="D69" s="165">
        <v>625.33</v>
      </c>
      <c r="E69" s="166"/>
      <c r="F69" s="59"/>
      <c r="G69" s="59"/>
      <c r="H69" s="59"/>
      <c r="I69" s="59"/>
      <c r="J69" s="59"/>
      <c r="K69" s="59"/>
      <c r="L69" s="59"/>
      <c r="M69" s="59"/>
    </row>
    <row r="70" ht="21.95" customHeight="1" spans="1:13">
      <c r="A70" s="77" t="s">
        <v>81</v>
      </c>
      <c r="B70" s="77"/>
      <c r="C70" s="140" t="s">
        <v>148</v>
      </c>
      <c r="D70" s="167">
        <f>ROUND((D68/D67)*(D69*D66)/D49,2)</f>
        <v>297.76</v>
      </c>
      <c r="E70" s="168"/>
      <c r="F70" s="59"/>
      <c r="G70" s="59"/>
      <c r="H70" s="59"/>
      <c r="I70" s="59"/>
      <c r="J70" s="59"/>
      <c r="K70" s="59"/>
      <c r="L70" s="59"/>
      <c r="M70" s="59"/>
    </row>
    <row r="71" ht="6.95" customHeight="1" spans="1:13">
      <c r="A71" s="69"/>
      <c r="B71" s="70"/>
      <c r="C71" s="69"/>
      <c r="D71" s="70"/>
      <c r="E71" s="105"/>
      <c r="F71" s="59"/>
      <c r="G71" s="59"/>
      <c r="H71" s="59"/>
      <c r="I71" s="59"/>
      <c r="J71" s="59"/>
      <c r="K71" s="59"/>
      <c r="L71" s="59"/>
      <c r="M71" s="59"/>
    </row>
    <row r="72" ht="15.95" customHeight="1" spans="1:13">
      <c r="A72" s="88" t="s">
        <v>149</v>
      </c>
      <c r="B72" s="89" t="s">
        <v>150</v>
      </c>
      <c r="C72" s="90"/>
      <c r="D72" s="124"/>
      <c r="E72" s="125"/>
      <c r="F72" s="59"/>
      <c r="G72" s="59"/>
      <c r="H72" s="59"/>
      <c r="I72" s="59"/>
      <c r="J72" s="59"/>
      <c r="K72" s="59"/>
      <c r="L72" s="59"/>
      <c r="M72" s="59"/>
    </row>
    <row r="73" ht="6.95" customHeight="1" spans="1:13">
      <c r="A73" s="69"/>
      <c r="B73" s="70"/>
      <c r="C73" s="69"/>
      <c r="D73" s="70"/>
      <c r="E73" s="105"/>
      <c r="F73" s="59"/>
      <c r="G73" s="59"/>
      <c r="H73" s="59"/>
      <c r="I73" s="59"/>
      <c r="J73" s="59"/>
      <c r="K73" s="59"/>
      <c r="L73" s="59"/>
      <c r="M73" s="59"/>
    </row>
    <row r="74" ht="50.1" customHeight="1" spans="1:13">
      <c r="A74" s="69" t="s">
        <v>151</v>
      </c>
      <c r="B74" s="169" t="s">
        <v>152</v>
      </c>
      <c r="C74" s="69" t="s">
        <v>153</v>
      </c>
      <c r="D74" s="170">
        <v>2498.17</v>
      </c>
      <c r="E74" s="92"/>
      <c r="F74" s="171"/>
      <c r="G74" s="59"/>
      <c r="H74" s="59"/>
      <c r="I74" s="59"/>
      <c r="J74" s="59"/>
      <c r="K74" s="59"/>
      <c r="L74" s="59"/>
      <c r="M74" s="59"/>
    </row>
    <row r="75" ht="27.95" customHeight="1" spans="1:13">
      <c r="A75" s="69"/>
      <c r="B75" s="169" t="s">
        <v>154</v>
      </c>
      <c r="C75" s="69" t="s">
        <v>153</v>
      </c>
      <c r="D75" s="170">
        <f>(D74*0.2)</f>
        <v>499.634</v>
      </c>
      <c r="E75" s="92">
        <f>D74+D75</f>
        <v>2997.804</v>
      </c>
      <c r="F75" s="171">
        <f>E75*2</f>
        <v>5995.608</v>
      </c>
      <c r="G75" s="59"/>
      <c r="H75" s="59"/>
      <c r="I75" s="59"/>
      <c r="J75" s="59"/>
      <c r="K75" s="59"/>
      <c r="L75" s="59"/>
      <c r="M75" s="59"/>
    </row>
    <row r="76" ht="21" customHeight="1" spans="1:13">
      <c r="A76" s="69"/>
      <c r="B76" s="172" t="s">
        <v>155</v>
      </c>
      <c r="C76" s="69" t="s">
        <v>153</v>
      </c>
      <c r="D76" s="170">
        <f>(D74+D75)*2</f>
        <v>5995.608</v>
      </c>
      <c r="E76" s="92"/>
      <c r="F76" s="171"/>
      <c r="G76" s="59"/>
      <c r="H76" s="59"/>
      <c r="I76" s="59"/>
      <c r="J76" s="59"/>
      <c r="K76" s="59"/>
      <c r="L76" s="59"/>
      <c r="M76" s="59"/>
    </row>
    <row r="77" ht="51.95" customHeight="1" spans="1:13">
      <c r="A77" s="69" t="s">
        <v>156</v>
      </c>
      <c r="B77" s="169" t="s">
        <v>157</v>
      </c>
      <c r="C77" s="69" t="s">
        <v>158</v>
      </c>
      <c r="D77" s="170">
        <v>2498.17</v>
      </c>
      <c r="E77" s="92">
        <f>D77+D78+D79</f>
        <v>3547.4014</v>
      </c>
      <c r="F77" s="171">
        <f>E77*2</f>
        <v>7094.8028</v>
      </c>
      <c r="G77" s="59"/>
      <c r="H77" s="59"/>
      <c r="I77" s="59"/>
      <c r="J77" s="59"/>
      <c r="K77" s="59"/>
      <c r="L77" s="59"/>
      <c r="M77" s="59"/>
    </row>
    <row r="78" ht="24.95" customHeight="1" spans="1:13">
      <c r="A78" s="69"/>
      <c r="B78" s="169" t="s">
        <v>159</v>
      </c>
      <c r="C78" s="69" t="s">
        <v>158</v>
      </c>
      <c r="D78" s="170">
        <f>(D77*0.2)</f>
        <v>499.634</v>
      </c>
      <c r="E78" s="92"/>
      <c r="F78" s="171">
        <f>F75+F77</f>
        <v>13090.4108</v>
      </c>
      <c r="G78" s="59"/>
      <c r="H78" s="59"/>
      <c r="I78" s="59"/>
      <c r="J78" s="59"/>
      <c r="K78" s="59"/>
      <c r="L78" s="59"/>
      <c r="M78" s="59"/>
    </row>
    <row r="79" ht="21" customHeight="1" spans="1:13">
      <c r="A79" s="69"/>
      <c r="B79" s="169" t="s">
        <v>160</v>
      </c>
      <c r="C79" s="69" t="s">
        <v>158</v>
      </c>
      <c r="D79" s="170">
        <f>(D77*0.22)</f>
        <v>549.5974</v>
      </c>
      <c r="E79" s="173"/>
      <c r="F79" s="173"/>
      <c r="G79" s="59"/>
      <c r="H79" s="59"/>
      <c r="I79" s="59"/>
      <c r="J79" s="59"/>
      <c r="K79" s="59"/>
      <c r="L79" s="59"/>
      <c r="M79" s="59"/>
    </row>
    <row r="80" ht="21" customHeight="1" spans="1:13">
      <c r="A80" s="77"/>
      <c r="B80" s="172" t="s">
        <v>161</v>
      </c>
      <c r="C80" s="69" t="s">
        <v>158</v>
      </c>
      <c r="D80" s="170">
        <f>(D77+D78+D79)*2</f>
        <v>7094.8028</v>
      </c>
      <c r="E80" s="173"/>
      <c r="F80" s="173"/>
      <c r="G80" s="59"/>
      <c r="H80" s="59"/>
      <c r="I80" s="59"/>
      <c r="J80" s="59"/>
      <c r="K80" s="59"/>
      <c r="L80" s="59"/>
      <c r="M80" s="59"/>
    </row>
    <row r="81" ht="21" customHeight="1" spans="1:13">
      <c r="A81" s="77" t="s">
        <v>81</v>
      </c>
      <c r="B81" s="77"/>
      <c r="C81" s="69" t="s">
        <v>162</v>
      </c>
      <c r="D81" s="174">
        <f>D76+D80</f>
        <v>13090.4108</v>
      </c>
      <c r="E81" s="173"/>
      <c r="F81" s="173"/>
      <c r="G81" s="59"/>
      <c r="H81" s="59"/>
      <c r="I81" s="59"/>
      <c r="J81" s="59"/>
      <c r="K81" s="59"/>
      <c r="L81" s="59"/>
      <c r="M81" s="59"/>
    </row>
    <row r="82" ht="8.1" customHeight="1" spans="1:13">
      <c r="A82" s="69"/>
      <c r="B82" s="70"/>
      <c r="C82" s="69"/>
      <c r="D82" s="175"/>
      <c r="E82" s="173"/>
      <c r="F82" s="173"/>
      <c r="G82" s="59"/>
      <c r="H82" s="59"/>
      <c r="I82" s="59"/>
      <c r="J82" s="59"/>
      <c r="K82" s="59"/>
      <c r="L82" s="59"/>
      <c r="M82" s="59"/>
    </row>
    <row r="83" ht="8.1" customHeight="1" spans="1:13">
      <c r="A83" s="69"/>
      <c r="B83" s="70"/>
      <c r="C83" s="69"/>
      <c r="D83" s="175"/>
      <c r="E83" s="173"/>
      <c r="F83" s="173"/>
      <c r="G83" s="59"/>
      <c r="H83" s="59"/>
      <c r="I83" s="59"/>
      <c r="J83" s="59"/>
      <c r="K83" s="59"/>
      <c r="L83" s="59"/>
      <c r="M83" s="59"/>
    </row>
    <row r="84" ht="8.1" customHeight="1" spans="1:13">
      <c r="A84" s="69"/>
      <c r="B84" s="70"/>
      <c r="C84" s="69"/>
      <c r="D84" s="175"/>
      <c r="E84" s="173"/>
      <c r="F84" s="173"/>
      <c r="G84" s="59"/>
      <c r="H84" s="59"/>
      <c r="I84" s="59"/>
      <c r="J84" s="59"/>
      <c r="K84" s="59"/>
      <c r="L84" s="59"/>
      <c r="M84" s="59"/>
    </row>
    <row r="85" ht="15.95" customHeight="1" spans="1:13">
      <c r="A85" s="88" t="s">
        <v>163</v>
      </c>
      <c r="B85" s="157" t="s">
        <v>164</v>
      </c>
      <c r="C85" s="90"/>
      <c r="D85" s="124"/>
      <c r="E85" s="125"/>
      <c r="F85" s="176"/>
      <c r="G85" s="59"/>
      <c r="H85" s="59"/>
      <c r="I85" s="59"/>
      <c r="J85" s="59"/>
      <c r="K85" s="59"/>
      <c r="L85" s="59"/>
      <c r="M85" s="59"/>
    </row>
    <row r="86" ht="6.95" customHeight="1" spans="1:13">
      <c r="A86" s="69"/>
      <c r="B86" s="70"/>
      <c r="C86" s="69"/>
      <c r="D86" s="70"/>
      <c r="E86" s="105"/>
      <c r="F86" s="59"/>
      <c r="G86" s="59"/>
      <c r="H86" s="59"/>
      <c r="I86" s="59"/>
      <c r="J86" s="59"/>
      <c r="K86" s="59"/>
      <c r="L86" s="59"/>
      <c r="M86" s="59"/>
    </row>
    <row r="87" ht="38.1" customHeight="1" spans="1:13">
      <c r="A87" s="69" t="s">
        <v>165</v>
      </c>
      <c r="B87" s="169" t="s">
        <v>166</v>
      </c>
      <c r="C87" s="69" t="s">
        <v>153</v>
      </c>
      <c r="D87" s="177">
        <f>'EQUIP_TIPO D'!D234</f>
        <v>1937.31</v>
      </c>
      <c r="E87" s="92"/>
      <c r="F87" s="173"/>
      <c r="G87" s="59"/>
      <c r="H87" s="59"/>
      <c r="I87" s="59"/>
      <c r="J87" s="59"/>
      <c r="K87" s="59"/>
      <c r="L87" s="59"/>
      <c r="M87" s="59"/>
    </row>
    <row r="88" ht="20.1" customHeight="1" spans="1:13">
      <c r="A88" s="77" t="s">
        <v>81</v>
      </c>
      <c r="B88" s="77"/>
      <c r="C88" s="69" t="s">
        <v>162</v>
      </c>
      <c r="D88" s="177">
        <f>SUM(D87:D87)</f>
        <v>1937.31</v>
      </c>
      <c r="E88" s="173"/>
      <c r="F88" s="173"/>
      <c r="G88" s="59"/>
      <c r="H88" s="59"/>
      <c r="I88" s="59"/>
      <c r="J88" s="59"/>
      <c r="K88" s="59"/>
      <c r="L88" s="59"/>
      <c r="M88" s="59"/>
    </row>
    <row r="89" ht="8.1" customHeight="1" spans="1:13">
      <c r="A89" s="69"/>
      <c r="B89" s="70"/>
      <c r="C89" s="69"/>
      <c r="D89" s="175"/>
      <c r="E89" s="173"/>
      <c r="F89" s="173"/>
      <c r="G89" s="59"/>
      <c r="H89" s="59"/>
      <c r="I89" s="59"/>
      <c r="J89" s="59"/>
      <c r="K89" s="59"/>
      <c r="L89" s="59"/>
      <c r="M89" s="59"/>
    </row>
    <row r="90" ht="24.95" customHeight="1" spans="1:13">
      <c r="A90" s="88" t="s">
        <v>167</v>
      </c>
      <c r="B90" s="89" t="s">
        <v>168</v>
      </c>
      <c r="C90" s="90" t="s">
        <v>48</v>
      </c>
      <c r="D90" s="91">
        <f>ROUND(SUM(D29+D34+D42+D52+D62+D70+D81+D88),2)</f>
        <v>21512.63</v>
      </c>
      <c r="E90" s="92"/>
      <c r="F90" s="93"/>
      <c r="G90" s="94"/>
      <c r="H90" s="59"/>
      <c r="I90" s="59"/>
      <c r="J90" s="59"/>
      <c r="K90" s="59"/>
      <c r="L90" s="59"/>
      <c r="M90" s="59"/>
    </row>
    <row r="91" ht="9" customHeight="1" spans="1:13">
      <c r="A91" s="69"/>
      <c r="B91" s="71"/>
      <c r="C91" s="69"/>
      <c r="D91" s="95"/>
      <c r="E91" s="96"/>
      <c r="F91" s="59"/>
      <c r="G91" s="59"/>
      <c r="H91" s="59"/>
      <c r="I91" s="59"/>
      <c r="J91" s="59"/>
      <c r="K91" s="59"/>
      <c r="L91" s="59"/>
      <c r="M91" s="59"/>
    </row>
    <row r="92" ht="24.95" customHeight="1" spans="1:13">
      <c r="A92" s="88" t="s">
        <v>169</v>
      </c>
      <c r="B92" s="89" t="s">
        <v>170</v>
      </c>
      <c r="C92" s="90" t="s">
        <v>48</v>
      </c>
      <c r="D92" s="91">
        <f>ROUND(D90*1.2302,2)</f>
        <v>26464.84</v>
      </c>
      <c r="E92" s="97"/>
      <c r="F92" s="59"/>
      <c r="G92" s="98"/>
      <c r="H92" s="59"/>
      <c r="I92" s="59"/>
      <c r="J92" s="59"/>
      <c r="K92" s="59"/>
      <c r="L92" s="59"/>
      <c r="M92" s="59"/>
    </row>
    <row r="93" ht="9.95" customHeight="1" spans="1:13">
      <c r="A93" s="99"/>
      <c r="B93" s="100"/>
      <c r="C93" s="99"/>
      <c r="D93" s="101"/>
      <c r="E93" s="102"/>
      <c r="F93" s="59"/>
      <c r="G93" s="103"/>
      <c r="H93" s="59"/>
      <c r="I93" s="59"/>
      <c r="J93" s="59"/>
      <c r="K93" s="59"/>
      <c r="L93" s="59"/>
      <c r="M93" s="59"/>
    </row>
    <row r="94" s="108" customFormat="1" ht="32.1" customHeight="1" spans="1:13">
      <c r="A94" s="178" t="s">
        <v>171</v>
      </c>
      <c r="B94" s="178"/>
      <c r="C94" s="178"/>
      <c r="D94" s="178"/>
      <c r="E94" s="179"/>
      <c r="F94" s="180"/>
      <c r="G94" s="180"/>
      <c r="H94" s="180"/>
      <c r="I94" s="180"/>
      <c r="J94" s="180"/>
      <c r="K94" s="180"/>
      <c r="L94" s="180"/>
      <c r="M94" s="180"/>
    </row>
    <row r="95" s="108" customFormat="1" ht="57" customHeight="1" spans="1:13">
      <c r="A95" s="181" t="s">
        <v>172</v>
      </c>
      <c r="B95" s="182"/>
      <c r="C95" s="182"/>
      <c r="D95" s="182"/>
      <c r="E95" s="179"/>
      <c r="F95" s="180"/>
      <c r="G95" s="180"/>
      <c r="H95" s="180"/>
      <c r="I95" s="180"/>
      <c r="J95" s="180"/>
      <c r="K95" s="180"/>
      <c r="L95" s="180"/>
      <c r="M95" s="180"/>
    </row>
    <row r="96" s="108" customFormat="1" ht="24" customHeight="1" spans="1:13">
      <c r="A96" s="181" t="s">
        <v>173</v>
      </c>
      <c r="B96" s="182"/>
      <c r="C96" s="182"/>
      <c r="D96" s="182"/>
      <c r="E96" s="179"/>
      <c r="F96" s="180"/>
      <c r="G96" s="180"/>
      <c r="H96" s="180"/>
      <c r="I96" s="180"/>
      <c r="J96" s="180"/>
      <c r="K96" s="180"/>
      <c r="L96" s="180"/>
      <c r="M96" s="180"/>
    </row>
    <row r="97" s="108" customFormat="1" ht="24" customHeight="1" spans="1:13">
      <c r="A97" s="181" t="s">
        <v>174</v>
      </c>
      <c r="B97" s="182"/>
      <c r="C97" s="182"/>
      <c r="D97" s="182"/>
      <c r="E97" s="179"/>
      <c r="F97" s="180"/>
      <c r="G97" s="180"/>
      <c r="H97" s="180"/>
      <c r="I97" s="180"/>
      <c r="J97" s="180"/>
      <c r="K97" s="180"/>
      <c r="L97" s="180"/>
      <c r="M97" s="180"/>
    </row>
    <row r="98" s="108" customFormat="1" ht="24" customHeight="1" spans="1:13">
      <c r="A98" s="181" t="s">
        <v>175</v>
      </c>
      <c r="B98" s="182"/>
      <c r="C98" s="182"/>
      <c r="D98" s="182"/>
      <c r="E98" s="179"/>
      <c r="F98" s="180"/>
      <c r="G98" s="180"/>
      <c r="H98" s="180"/>
      <c r="I98" s="180"/>
      <c r="J98" s="180"/>
      <c r="K98" s="180"/>
      <c r="L98" s="180"/>
      <c r="M98" s="180"/>
    </row>
    <row r="99" s="108" customFormat="1" ht="24" customHeight="1" spans="1:13">
      <c r="A99" s="181" t="s">
        <v>176</v>
      </c>
      <c r="B99" s="182"/>
      <c r="C99" s="182"/>
      <c r="D99" s="182"/>
      <c r="E99" s="179"/>
      <c r="F99" s="180"/>
      <c r="G99" s="180"/>
      <c r="H99" s="180"/>
      <c r="I99" s="180"/>
      <c r="J99" s="180"/>
      <c r="K99" s="180"/>
      <c r="L99" s="180"/>
      <c r="M99" s="180"/>
    </row>
    <row r="100" s="108" customFormat="1" ht="48.95" customHeight="1" spans="1:13">
      <c r="A100" s="181" t="s">
        <v>177</v>
      </c>
      <c r="B100" s="182"/>
      <c r="C100" s="182"/>
      <c r="D100" s="182"/>
      <c r="E100" s="179"/>
      <c r="F100" s="180"/>
      <c r="G100" s="180"/>
      <c r="H100" s="180"/>
      <c r="I100" s="180"/>
      <c r="J100" s="180"/>
      <c r="K100" s="180"/>
      <c r="L100" s="180"/>
      <c r="M100" s="180"/>
    </row>
    <row r="101" s="108" customFormat="1" ht="30" customHeight="1" spans="1:13">
      <c r="A101" s="181" t="s">
        <v>176</v>
      </c>
      <c r="B101" s="182"/>
      <c r="C101" s="182"/>
      <c r="D101" s="182"/>
      <c r="E101" s="179"/>
      <c r="F101" s="180"/>
      <c r="G101" s="180"/>
      <c r="H101" s="180"/>
      <c r="I101" s="180"/>
      <c r="J101" s="180"/>
      <c r="K101" s="180"/>
      <c r="L101" s="180"/>
      <c r="M101" s="180"/>
    </row>
    <row r="102" s="108" customFormat="1" ht="44.1" customHeight="1" spans="1:13">
      <c r="A102" s="181" t="s">
        <v>178</v>
      </c>
      <c r="B102" s="182"/>
      <c r="C102" s="182"/>
      <c r="D102" s="182"/>
      <c r="F102" s="180"/>
      <c r="G102" s="180"/>
      <c r="H102" s="180"/>
      <c r="I102" s="180"/>
      <c r="J102" s="180"/>
      <c r="K102" s="180"/>
      <c r="L102" s="180"/>
      <c r="M102" s="180"/>
    </row>
    <row r="103" spans="4:13">
      <c r="D103" s="106"/>
      <c r="E103" s="106"/>
      <c r="F103" s="59"/>
      <c r="G103" s="59"/>
      <c r="H103" s="59"/>
      <c r="I103" s="59"/>
      <c r="J103" s="59"/>
      <c r="K103" s="59"/>
      <c r="L103" s="59"/>
      <c r="M103" s="59"/>
    </row>
    <row r="104" spans="6:13">
      <c r="F104" s="59"/>
      <c r="G104" s="59"/>
      <c r="H104" s="59"/>
      <c r="I104" s="59"/>
      <c r="J104" s="59"/>
      <c r="K104" s="59"/>
      <c r="L104" s="59"/>
      <c r="M104" s="59"/>
    </row>
    <row r="105" spans="6:13">
      <c r="F105" s="59"/>
      <c r="G105" s="59"/>
      <c r="H105" s="59"/>
      <c r="I105" s="59"/>
      <c r="J105" s="59"/>
      <c r="K105" s="59"/>
      <c r="L105" s="59"/>
      <c r="M105" s="59"/>
    </row>
  </sheetData>
  <mergeCells count="32">
    <mergeCell ref="A1:D1"/>
    <mergeCell ref="A2:D2"/>
    <mergeCell ref="A3:D3"/>
    <mergeCell ref="A4:D4"/>
    <mergeCell ref="A5:D5"/>
    <mergeCell ref="A6:D6"/>
    <mergeCell ref="A7:D7"/>
    <mergeCell ref="A23:D23"/>
    <mergeCell ref="A29:B29"/>
    <mergeCell ref="A34:B34"/>
    <mergeCell ref="A42:B42"/>
    <mergeCell ref="A44:D44"/>
    <mergeCell ref="A52:B52"/>
    <mergeCell ref="A62:B62"/>
    <mergeCell ref="A70:B70"/>
    <mergeCell ref="A81:B81"/>
    <mergeCell ref="A88:B88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38:A39"/>
    <mergeCell ref="A74:A76"/>
    <mergeCell ref="A77:A79"/>
    <mergeCell ref="C38:C39"/>
    <mergeCell ref="A8:B22"/>
    <mergeCell ref="C8:D22"/>
  </mergeCells>
  <printOptions horizontalCentered="1"/>
  <pageMargins left="0.251388888888889" right="0.251388888888889" top="0.751388888888889" bottom="0.751388888888889" header="0.298611111111111" footer="0.298611111111111"/>
  <pageSetup paperSize="9" scale="83" orientation="portrait"/>
  <headerFooter/>
  <rowBreaks count="3" manualBreakCount="3">
    <brk id="42" max="3" man="1"/>
    <brk id="70" max="3" man="1"/>
    <brk id="92" max="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1"/>
  <sheetViews>
    <sheetView view="pageBreakPreview" zoomScaleNormal="85" workbookViewId="0">
      <selection activeCell="F3" sqref="F3"/>
    </sheetView>
  </sheetViews>
  <sheetFormatPr defaultColWidth="9.14285714285714" defaultRowHeight="15.75"/>
  <cols>
    <col min="1" max="1" width="12.8571428571429" style="50" customWidth="1"/>
    <col min="2" max="2" width="56.2857142857143" style="50" customWidth="1"/>
    <col min="3" max="3" width="22.2857142857143" style="50" customWidth="1"/>
    <col min="4" max="4" width="31.5714285714286" style="50" customWidth="1"/>
    <col min="5" max="5" width="9.14285714285714" style="52"/>
    <col min="6" max="16374" width="9.14285714285714" style="50"/>
  </cols>
  <sheetData>
    <row r="1" s="50" customFormat="1" ht="63.95" customHeight="1" spans="1:5">
      <c r="A1" s="53"/>
      <c r="B1" s="54"/>
      <c r="C1" s="54"/>
      <c r="D1" s="55"/>
      <c r="E1" s="52"/>
    </row>
    <row r="2" s="50" customFormat="1" ht="23.1" customHeight="1" spans="1:5">
      <c r="A2" s="56" t="s">
        <v>0</v>
      </c>
      <c r="B2" s="57"/>
      <c r="C2" s="57"/>
      <c r="D2" s="58"/>
      <c r="E2" s="59"/>
    </row>
    <row r="3" s="50" customFormat="1" ht="98.1" customHeight="1" spans="1:5">
      <c r="A3" s="60" t="s">
        <v>2</v>
      </c>
      <c r="B3" s="61"/>
      <c r="C3" s="61"/>
      <c r="D3" s="61"/>
      <c r="E3" s="59"/>
    </row>
    <row r="4" s="50" customFormat="1" ht="24" customHeight="1" spans="1:5">
      <c r="A4" s="62" t="s">
        <v>64</v>
      </c>
      <c r="B4" s="62"/>
      <c r="C4" s="62"/>
      <c r="D4" s="62"/>
      <c r="E4" s="59"/>
    </row>
    <row r="5" s="50" customFormat="1" ht="24" customHeight="1" spans="1:5">
      <c r="A5" s="63" t="s">
        <v>179</v>
      </c>
      <c r="B5" s="63"/>
      <c r="C5" s="63"/>
      <c r="D5" s="63"/>
      <c r="E5" s="59"/>
    </row>
    <row r="6" s="50" customFormat="1" ht="27.95" customHeight="1" spans="1:5">
      <c r="A6" s="64" t="s">
        <v>240</v>
      </c>
      <c r="B6" s="64"/>
      <c r="C6" s="64"/>
      <c r="D6" s="64"/>
      <c r="E6" s="59"/>
    </row>
    <row r="7" s="50" customFormat="1" ht="21.95" customHeight="1" spans="1:5">
      <c r="A7" s="65" t="s">
        <v>181</v>
      </c>
      <c r="B7" s="65"/>
      <c r="C7" s="65"/>
      <c r="D7" s="65"/>
      <c r="E7" s="59"/>
    </row>
    <row r="8" s="50" customFormat="1" ht="6.95" customHeight="1" spans="1:5">
      <c r="A8" s="66"/>
      <c r="B8" s="66"/>
      <c r="C8" s="66"/>
      <c r="D8" s="66"/>
      <c r="E8" s="59"/>
    </row>
    <row r="9" s="50" customFormat="1" ht="24.95" customHeight="1" spans="1:5">
      <c r="A9" s="67" t="s">
        <v>182</v>
      </c>
      <c r="B9" s="67"/>
      <c r="C9" s="67"/>
      <c r="D9" s="67"/>
      <c r="E9" s="59"/>
    </row>
    <row r="10" s="50" customFormat="1" ht="21.95" customHeight="1" spans="1:5">
      <c r="A10" s="68" t="s">
        <v>183</v>
      </c>
      <c r="B10" s="68"/>
      <c r="C10" s="68"/>
      <c r="D10" s="68"/>
      <c r="E10" s="59"/>
    </row>
    <row r="11" s="50" customFormat="1" ht="6" customHeight="1" spans="1:5">
      <c r="A11" s="69"/>
      <c r="B11" s="70"/>
      <c r="C11" s="69"/>
      <c r="D11" s="70"/>
      <c r="E11" s="59"/>
    </row>
    <row r="12" s="50" customFormat="1" ht="20.1" customHeight="1" spans="1:5">
      <c r="A12" s="69" t="s">
        <v>72</v>
      </c>
      <c r="B12" s="71" t="s">
        <v>73</v>
      </c>
      <c r="C12" s="69" t="s">
        <v>74</v>
      </c>
      <c r="D12" s="72">
        <v>1207.23</v>
      </c>
      <c r="E12" s="59"/>
    </row>
    <row r="13" s="50" customFormat="1" ht="20.1" customHeight="1" spans="1:5">
      <c r="A13" s="69" t="s">
        <v>75</v>
      </c>
      <c r="B13" s="71" t="s">
        <v>76</v>
      </c>
      <c r="C13" s="69" t="s">
        <v>77</v>
      </c>
      <c r="D13" s="73">
        <f>12*10</f>
        <v>120</v>
      </c>
      <c r="E13" s="59"/>
    </row>
    <row r="14" s="50" customFormat="1" ht="20.1" customHeight="1" spans="1:5">
      <c r="A14" s="69" t="s">
        <v>78</v>
      </c>
      <c r="B14" s="74" t="s">
        <v>184</v>
      </c>
      <c r="C14" s="69" t="s">
        <v>80</v>
      </c>
      <c r="D14" s="75">
        <v>0.1</v>
      </c>
      <c r="E14" s="59"/>
    </row>
    <row r="15" s="50" customFormat="1" ht="20.1" customHeight="1" spans="1:5">
      <c r="A15" s="69" t="s">
        <v>185</v>
      </c>
      <c r="B15" s="71" t="s">
        <v>186</v>
      </c>
      <c r="C15" s="69" t="s">
        <v>187</v>
      </c>
      <c r="D15" s="76">
        <v>12</v>
      </c>
      <c r="E15" s="59"/>
    </row>
    <row r="16" s="50" customFormat="1" ht="20.1" customHeight="1" spans="1:5">
      <c r="A16" s="77" t="s">
        <v>188</v>
      </c>
      <c r="B16" s="77"/>
      <c r="C16" s="77"/>
      <c r="D16" s="78">
        <f>ROUND((D12/D13)-((D12*D14)/D13),2)</f>
        <v>9.05</v>
      </c>
      <c r="E16" s="59"/>
    </row>
    <row r="17" s="50" customFormat="1" ht="6.95" customHeight="1" spans="1:5">
      <c r="A17" s="69"/>
      <c r="B17" s="70"/>
      <c r="C17" s="69"/>
      <c r="D17" s="70"/>
      <c r="E17" s="59"/>
    </row>
    <row r="18" s="50" customFormat="1" ht="21.95" customHeight="1" spans="1:5">
      <c r="A18" s="79" t="s">
        <v>84</v>
      </c>
      <c r="B18" s="79"/>
      <c r="C18" s="79"/>
      <c r="D18" s="79"/>
      <c r="E18" s="59"/>
    </row>
    <row r="19" s="50" customFormat="1" ht="8.1" customHeight="1" spans="1:5">
      <c r="A19" s="69"/>
      <c r="B19" s="70"/>
      <c r="C19" s="69"/>
      <c r="D19" s="70"/>
      <c r="E19" s="59"/>
    </row>
    <row r="20" s="50" customFormat="1" ht="21.95" customHeight="1" spans="1:5">
      <c r="A20" s="69" t="s">
        <v>189</v>
      </c>
      <c r="B20" s="70" t="s">
        <v>86</v>
      </c>
      <c r="C20" s="69" t="s">
        <v>190</v>
      </c>
      <c r="D20" s="80">
        <f>D14/D15</f>
        <v>0.00833333333333333</v>
      </c>
      <c r="E20" s="59"/>
    </row>
    <row r="21" s="50" customFormat="1" ht="21.95" customHeight="1" spans="1:5">
      <c r="A21" s="69" t="s">
        <v>191</v>
      </c>
      <c r="B21" s="70" t="s">
        <v>192</v>
      </c>
      <c r="C21" s="69" t="s">
        <v>193</v>
      </c>
      <c r="D21" s="81">
        <f>ROUND(D12*D20,2)</f>
        <v>10.06</v>
      </c>
      <c r="E21" s="59"/>
    </row>
    <row r="22" s="51" customFormat="1" ht="21.95" customHeight="1" spans="1:5">
      <c r="A22" s="82" t="s">
        <v>81</v>
      </c>
      <c r="B22" s="82"/>
      <c r="C22" s="82"/>
      <c r="D22" s="83">
        <f>SUM(D16+D21)</f>
        <v>19.11</v>
      </c>
      <c r="E22" s="84"/>
    </row>
    <row r="23" s="51" customFormat="1" ht="6" customHeight="1" spans="1:5">
      <c r="A23" s="85"/>
      <c r="B23" s="85"/>
      <c r="C23" s="85"/>
      <c r="D23" s="85"/>
      <c r="E23" s="84"/>
    </row>
    <row r="24" s="50" customFormat="1" ht="24.95" customHeight="1" spans="1:5">
      <c r="A24" s="67" t="s">
        <v>241</v>
      </c>
      <c r="B24" s="67"/>
      <c r="C24" s="67"/>
      <c r="D24" s="67"/>
      <c r="E24" s="59"/>
    </row>
    <row r="25" s="50" customFormat="1" ht="21.95" customHeight="1" spans="1:5">
      <c r="A25" s="68" t="s">
        <v>183</v>
      </c>
      <c r="B25" s="68"/>
      <c r="C25" s="68"/>
      <c r="D25" s="68"/>
      <c r="E25" s="59"/>
    </row>
    <row r="26" s="50" customFormat="1" ht="6" customHeight="1" spans="1:5">
      <c r="A26" s="69"/>
      <c r="B26" s="70"/>
      <c r="C26" s="69"/>
      <c r="D26" s="70"/>
      <c r="E26" s="59"/>
    </row>
    <row r="27" s="50" customFormat="1" ht="23.1" customHeight="1" spans="1:5">
      <c r="A27" s="69" t="s">
        <v>85</v>
      </c>
      <c r="B27" s="71" t="s">
        <v>73</v>
      </c>
      <c r="C27" s="69" t="s">
        <v>87</v>
      </c>
      <c r="D27" s="72">
        <v>2505.8</v>
      </c>
      <c r="E27" s="59"/>
    </row>
    <row r="28" s="50" customFormat="1" ht="23.1" customHeight="1" spans="1:5">
      <c r="A28" s="69" t="s">
        <v>195</v>
      </c>
      <c r="B28" s="71" t="s">
        <v>76</v>
      </c>
      <c r="C28" s="69" t="s">
        <v>196</v>
      </c>
      <c r="D28" s="73">
        <f>12*6</f>
        <v>72</v>
      </c>
      <c r="E28" s="59"/>
    </row>
    <row r="29" s="50" customFormat="1" ht="38.1" customHeight="1" spans="1:5">
      <c r="A29" s="69" t="s">
        <v>197</v>
      </c>
      <c r="B29" s="74" t="s">
        <v>184</v>
      </c>
      <c r="C29" s="69" t="s">
        <v>198</v>
      </c>
      <c r="D29" s="75">
        <v>0.1</v>
      </c>
      <c r="E29" s="59"/>
    </row>
    <row r="30" s="50" customFormat="1" ht="29.1" customHeight="1" spans="1:5">
      <c r="A30" s="69" t="s">
        <v>199</v>
      </c>
      <c r="B30" s="71" t="s">
        <v>186</v>
      </c>
      <c r="C30" s="69" t="s">
        <v>200</v>
      </c>
      <c r="D30" s="76">
        <v>12</v>
      </c>
      <c r="E30" s="59"/>
    </row>
    <row r="31" s="50" customFormat="1" ht="20.1" customHeight="1" spans="1:5">
      <c r="A31" s="77" t="s">
        <v>188</v>
      </c>
      <c r="B31" s="77"/>
      <c r="C31" s="77"/>
      <c r="D31" s="78">
        <f>ROUND((D27/D28)-((D27*D29)/D28),2)</f>
        <v>31.32</v>
      </c>
      <c r="E31" s="59"/>
    </row>
    <row r="32" s="50" customFormat="1" ht="6.95" customHeight="1" spans="1:5">
      <c r="A32" s="69"/>
      <c r="B32" s="70"/>
      <c r="C32" s="69"/>
      <c r="D32" s="70"/>
      <c r="E32" s="59"/>
    </row>
    <row r="33" s="50" customFormat="1" ht="21.95" customHeight="1" spans="1:5">
      <c r="A33" s="79" t="s">
        <v>84</v>
      </c>
      <c r="B33" s="79"/>
      <c r="C33" s="79"/>
      <c r="D33" s="79"/>
      <c r="E33" s="59"/>
    </row>
    <row r="34" s="50" customFormat="1" ht="8.1" customHeight="1" spans="1:5">
      <c r="A34" s="69"/>
      <c r="B34" s="70"/>
      <c r="C34" s="69"/>
      <c r="D34" s="70"/>
      <c r="E34" s="59"/>
    </row>
    <row r="35" s="50" customFormat="1" ht="21" customHeight="1" spans="1:5">
      <c r="A35" s="69" t="s">
        <v>201</v>
      </c>
      <c r="B35" s="70" t="s">
        <v>86</v>
      </c>
      <c r="C35" s="69" t="s">
        <v>202</v>
      </c>
      <c r="D35" s="80">
        <f>D29/D30</f>
        <v>0.00833333333333333</v>
      </c>
      <c r="E35" s="59"/>
    </row>
    <row r="36" s="50" customFormat="1" ht="21" customHeight="1" spans="1:5">
      <c r="A36" s="69" t="s">
        <v>203</v>
      </c>
      <c r="B36" s="70" t="s">
        <v>192</v>
      </c>
      <c r="C36" s="69" t="s">
        <v>204</v>
      </c>
      <c r="D36" s="81">
        <f>ROUND(D27*D35,2)</f>
        <v>20.88</v>
      </c>
      <c r="E36" s="59"/>
    </row>
    <row r="37" s="51" customFormat="1" ht="21" customHeight="1" spans="1:5">
      <c r="A37" s="82" t="s">
        <v>81</v>
      </c>
      <c r="B37" s="82"/>
      <c r="C37" s="82"/>
      <c r="D37" s="86">
        <f>SUM(D31+D36)</f>
        <v>52.2</v>
      </c>
      <c r="E37" s="84"/>
    </row>
    <row r="38" s="51" customFormat="1" ht="6" customHeight="1" spans="1:5">
      <c r="A38" s="85"/>
      <c r="B38" s="85"/>
      <c r="C38" s="85"/>
      <c r="D38" s="85"/>
      <c r="E38" s="84"/>
    </row>
    <row r="39" s="50" customFormat="1" ht="24.95" customHeight="1" spans="1:5">
      <c r="A39" s="67" t="s">
        <v>242</v>
      </c>
      <c r="B39" s="67"/>
      <c r="C39" s="67"/>
      <c r="D39" s="67"/>
      <c r="E39" s="59"/>
    </row>
    <row r="40" s="50" customFormat="1" ht="21.95" customHeight="1" spans="1:5">
      <c r="A40" s="68" t="s">
        <v>183</v>
      </c>
      <c r="B40" s="68"/>
      <c r="C40" s="68"/>
      <c r="D40" s="68"/>
      <c r="E40" s="59"/>
    </row>
    <row r="41" s="50" customFormat="1" ht="6" customHeight="1" spans="1:5">
      <c r="A41" s="69"/>
      <c r="B41" s="70"/>
      <c r="C41" s="69"/>
      <c r="D41" s="70"/>
      <c r="E41" s="59"/>
    </row>
    <row r="42" s="50" customFormat="1" ht="21" customHeight="1" spans="1:5">
      <c r="A42" s="69" t="s">
        <v>91</v>
      </c>
      <c r="B42" s="71" t="s">
        <v>73</v>
      </c>
      <c r="C42" s="69" t="s">
        <v>93</v>
      </c>
      <c r="D42" s="72">
        <v>49000</v>
      </c>
      <c r="E42" s="59"/>
    </row>
    <row r="43" s="50" customFormat="1" ht="21" customHeight="1" spans="1:5">
      <c r="A43" s="69" t="s">
        <v>97</v>
      </c>
      <c r="B43" s="71" t="s">
        <v>76</v>
      </c>
      <c r="C43" s="69" t="s">
        <v>96</v>
      </c>
      <c r="D43" s="73">
        <f>12*10</f>
        <v>120</v>
      </c>
      <c r="E43" s="59"/>
    </row>
    <row r="44" s="50" customFormat="1" ht="21" customHeight="1" spans="1:5">
      <c r="A44" s="69" t="s">
        <v>206</v>
      </c>
      <c r="B44" s="74" t="s">
        <v>184</v>
      </c>
      <c r="C44" s="69" t="s">
        <v>99</v>
      </c>
      <c r="D44" s="75">
        <v>0.1</v>
      </c>
      <c r="E44" s="59"/>
    </row>
    <row r="45" s="50" customFormat="1" ht="21" customHeight="1" spans="1:5">
      <c r="A45" s="69" t="s">
        <v>207</v>
      </c>
      <c r="B45" s="71" t="s">
        <v>186</v>
      </c>
      <c r="C45" s="69" t="s">
        <v>208</v>
      </c>
      <c r="D45" s="76">
        <v>12</v>
      </c>
      <c r="E45" s="59"/>
    </row>
    <row r="46" s="50" customFormat="1" ht="21" customHeight="1" spans="1:5">
      <c r="A46" s="77" t="s">
        <v>188</v>
      </c>
      <c r="B46" s="77"/>
      <c r="C46" s="77"/>
      <c r="D46" s="78">
        <f>ROUND((D42/D43)-((D42*D44)/D43),2)</f>
        <v>367.5</v>
      </c>
      <c r="E46" s="59"/>
    </row>
    <row r="47" s="50" customFormat="1" ht="6.95" customHeight="1" spans="1:5">
      <c r="A47" s="69"/>
      <c r="B47" s="70"/>
      <c r="C47" s="69"/>
      <c r="D47" s="70"/>
      <c r="E47" s="59"/>
    </row>
    <row r="48" s="50" customFormat="1" ht="21.95" customHeight="1" spans="1:5">
      <c r="A48" s="79" t="s">
        <v>84</v>
      </c>
      <c r="B48" s="79"/>
      <c r="C48" s="79"/>
      <c r="D48" s="79"/>
      <c r="E48" s="59"/>
    </row>
    <row r="49" s="50" customFormat="1" ht="8.1" customHeight="1" spans="1:5">
      <c r="A49" s="69"/>
      <c r="B49" s="70"/>
      <c r="C49" s="69"/>
      <c r="D49" s="70"/>
      <c r="E49" s="59"/>
    </row>
    <row r="50" s="50" customFormat="1" ht="21.95" customHeight="1" spans="1:5">
      <c r="A50" s="69" t="s">
        <v>209</v>
      </c>
      <c r="B50" s="70" t="s">
        <v>86</v>
      </c>
      <c r="C50" s="69" t="s">
        <v>210</v>
      </c>
      <c r="D50" s="80">
        <f>D44/D45</f>
        <v>0.00833333333333333</v>
      </c>
      <c r="E50" s="59"/>
    </row>
    <row r="51" s="50" customFormat="1" ht="21.95" customHeight="1" spans="1:5">
      <c r="A51" s="69" t="s">
        <v>211</v>
      </c>
      <c r="B51" s="70" t="s">
        <v>192</v>
      </c>
      <c r="C51" s="69" t="s">
        <v>212</v>
      </c>
      <c r="D51" s="81">
        <f>ROUND(D42*D50,2)</f>
        <v>408.33</v>
      </c>
      <c r="E51" s="59"/>
    </row>
    <row r="52" s="51" customFormat="1" ht="21.95" customHeight="1" spans="1:5">
      <c r="A52" s="82" t="s">
        <v>81</v>
      </c>
      <c r="B52" s="82"/>
      <c r="C52" s="82"/>
      <c r="D52" s="86">
        <f>SUM(D46+D51)</f>
        <v>775.83</v>
      </c>
      <c r="E52" s="84"/>
    </row>
    <row r="53" s="51" customFormat="1" ht="6" customHeight="1" spans="1:5">
      <c r="A53" s="85"/>
      <c r="B53" s="85"/>
      <c r="C53" s="85"/>
      <c r="D53" s="85"/>
      <c r="E53" s="84"/>
    </row>
    <row r="54" s="50" customFormat="1" ht="24.95" customHeight="1" spans="1:5">
      <c r="A54" s="67" t="s">
        <v>243</v>
      </c>
      <c r="B54" s="67"/>
      <c r="C54" s="67"/>
      <c r="D54" s="67"/>
      <c r="E54" s="59"/>
    </row>
    <row r="55" s="50" customFormat="1" ht="21.95" customHeight="1" spans="1:5">
      <c r="A55" s="68" t="s">
        <v>183</v>
      </c>
      <c r="B55" s="68"/>
      <c r="C55" s="68"/>
      <c r="D55" s="68"/>
      <c r="E55" s="59"/>
    </row>
    <row r="56" s="50" customFormat="1" ht="6" customHeight="1" spans="1:5">
      <c r="A56" s="69"/>
      <c r="B56" s="70"/>
      <c r="C56" s="69"/>
      <c r="D56" s="70"/>
      <c r="E56" s="59"/>
    </row>
    <row r="57" s="50" customFormat="1" ht="20.1" customHeight="1" spans="1:5">
      <c r="A57" s="69" t="s">
        <v>104</v>
      </c>
      <c r="B57" s="71" t="s">
        <v>73</v>
      </c>
      <c r="C57" s="69" t="s">
        <v>106</v>
      </c>
      <c r="D57" s="72">
        <v>2307.67</v>
      </c>
      <c r="E57" s="59"/>
    </row>
    <row r="58" s="50" customFormat="1" ht="20.1" customHeight="1" spans="1:5">
      <c r="A58" s="69" t="s">
        <v>107</v>
      </c>
      <c r="B58" s="71" t="s">
        <v>76</v>
      </c>
      <c r="C58" s="69" t="s">
        <v>109</v>
      </c>
      <c r="D58" s="73">
        <f>12*8</f>
        <v>96</v>
      </c>
      <c r="E58" s="59"/>
    </row>
    <row r="59" s="50" customFormat="1" ht="20.1" customHeight="1" spans="1:5">
      <c r="A59" s="69" t="s">
        <v>110</v>
      </c>
      <c r="B59" s="74" t="s">
        <v>184</v>
      </c>
      <c r="C59" s="69" t="s">
        <v>112</v>
      </c>
      <c r="D59" s="75">
        <v>0.1</v>
      </c>
      <c r="E59" s="59"/>
    </row>
    <row r="60" s="50" customFormat="1" ht="20.1" customHeight="1" spans="1:5">
      <c r="A60" s="69" t="s">
        <v>113</v>
      </c>
      <c r="B60" s="71" t="s">
        <v>186</v>
      </c>
      <c r="C60" s="69" t="s">
        <v>115</v>
      </c>
      <c r="D60" s="76">
        <v>12</v>
      </c>
      <c r="E60" s="59"/>
    </row>
    <row r="61" s="50" customFormat="1" ht="20.1" customHeight="1" spans="1:5">
      <c r="A61" s="77" t="s">
        <v>188</v>
      </c>
      <c r="B61" s="77"/>
      <c r="C61" s="77"/>
      <c r="D61" s="78">
        <f>ROUND((D57/D58)-((D57*D59)/D58),2)</f>
        <v>21.63</v>
      </c>
      <c r="E61" s="59"/>
    </row>
    <row r="62" s="50" customFormat="1" ht="6.95" customHeight="1" spans="1:5">
      <c r="A62" s="69"/>
      <c r="B62" s="70"/>
      <c r="C62" s="69"/>
      <c r="D62" s="70"/>
      <c r="E62" s="59"/>
    </row>
    <row r="63" s="50" customFormat="1" ht="21.95" customHeight="1" spans="1:5">
      <c r="A63" s="79" t="s">
        <v>84</v>
      </c>
      <c r="B63" s="79"/>
      <c r="C63" s="79"/>
      <c r="D63" s="79"/>
      <c r="E63" s="59"/>
    </row>
    <row r="64" s="50" customFormat="1" ht="8.1" customHeight="1" spans="1:5">
      <c r="A64" s="69"/>
      <c r="B64" s="70"/>
      <c r="C64" s="69"/>
      <c r="D64" s="70"/>
      <c r="E64" s="59"/>
    </row>
    <row r="65" s="50" customFormat="1" ht="21.95" customHeight="1" spans="1:5">
      <c r="A65" s="69" t="s">
        <v>214</v>
      </c>
      <c r="B65" s="70" t="s">
        <v>86</v>
      </c>
      <c r="C65" s="69" t="s">
        <v>215</v>
      </c>
      <c r="D65" s="80">
        <f>D59/D60</f>
        <v>0.00833333333333333</v>
      </c>
      <c r="E65" s="59"/>
    </row>
    <row r="66" s="50" customFormat="1" ht="21.95" customHeight="1" spans="1:5">
      <c r="A66" s="69" t="s">
        <v>216</v>
      </c>
      <c r="B66" s="70" t="s">
        <v>192</v>
      </c>
      <c r="C66" s="69" t="s">
        <v>217</v>
      </c>
      <c r="D66" s="81">
        <f>ROUND(D57*D65,2)</f>
        <v>19.23</v>
      </c>
      <c r="E66" s="59"/>
    </row>
    <row r="67" s="51" customFormat="1" ht="21.95" customHeight="1" spans="1:5">
      <c r="A67" s="82" t="s">
        <v>81</v>
      </c>
      <c r="B67" s="82"/>
      <c r="C67" s="82"/>
      <c r="D67" s="86">
        <f>SUM(D61+D66)</f>
        <v>40.86</v>
      </c>
      <c r="E67" s="84"/>
    </row>
    <row r="68" s="51" customFormat="1" ht="6" customHeight="1" spans="1:5">
      <c r="A68" s="85"/>
      <c r="B68" s="85"/>
      <c r="C68" s="85"/>
      <c r="D68" s="85"/>
      <c r="E68" s="84"/>
    </row>
    <row r="69" s="50" customFormat="1" ht="24.95" customHeight="1" spans="1:5">
      <c r="A69" s="67" t="s">
        <v>244</v>
      </c>
      <c r="B69" s="67"/>
      <c r="C69" s="67"/>
      <c r="D69" s="67"/>
      <c r="E69" s="59"/>
    </row>
    <row r="70" s="50" customFormat="1" ht="21.95" customHeight="1" spans="1:5">
      <c r="A70" s="68" t="s">
        <v>183</v>
      </c>
      <c r="B70" s="68"/>
      <c r="C70" s="68"/>
      <c r="D70" s="68"/>
      <c r="E70" s="59"/>
    </row>
    <row r="71" s="50" customFormat="1" ht="6" customHeight="1" spans="1:5">
      <c r="A71" s="69"/>
      <c r="B71" s="70"/>
      <c r="C71" s="69"/>
      <c r="D71" s="70"/>
      <c r="E71" s="59"/>
    </row>
    <row r="72" s="50" customFormat="1" ht="20.1" customHeight="1" spans="1:5">
      <c r="A72" s="69" t="s">
        <v>119</v>
      </c>
      <c r="B72" s="71" t="s">
        <v>73</v>
      </c>
      <c r="C72" s="69" t="s">
        <v>121</v>
      </c>
      <c r="D72" s="72">
        <v>18369.79</v>
      </c>
      <c r="E72" s="59"/>
    </row>
    <row r="73" s="50" customFormat="1" ht="20.1" customHeight="1" spans="1:5">
      <c r="A73" s="69" t="s">
        <v>122</v>
      </c>
      <c r="B73" s="71" t="s">
        <v>76</v>
      </c>
      <c r="C73" s="69" t="s">
        <v>124</v>
      </c>
      <c r="D73" s="73">
        <f>12*10</f>
        <v>120</v>
      </c>
      <c r="E73" s="59"/>
    </row>
    <row r="74" s="50" customFormat="1" ht="20.1" customHeight="1" spans="1:5">
      <c r="A74" s="69" t="s">
        <v>126</v>
      </c>
      <c r="B74" s="74" t="s">
        <v>184</v>
      </c>
      <c r="C74" s="69" t="s">
        <v>128</v>
      </c>
      <c r="D74" s="75">
        <v>0.1</v>
      </c>
      <c r="E74" s="59"/>
    </row>
    <row r="75" s="50" customFormat="1" ht="20.1" customHeight="1" spans="1:5">
      <c r="A75" s="69" t="s">
        <v>129</v>
      </c>
      <c r="B75" s="71" t="s">
        <v>186</v>
      </c>
      <c r="C75" s="69" t="s">
        <v>131</v>
      </c>
      <c r="D75" s="76">
        <v>12</v>
      </c>
      <c r="E75" s="59"/>
    </row>
    <row r="76" s="50" customFormat="1" ht="20.1" customHeight="1" spans="1:5">
      <c r="A76" s="77" t="s">
        <v>188</v>
      </c>
      <c r="B76" s="77"/>
      <c r="C76" s="77"/>
      <c r="D76" s="78">
        <f>ROUND((D72/D73)-((D72*D74)/D73),2)</f>
        <v>137.77</v>
      </c>
      <c r="E76" s="59"/>
    </row>
    <row r="77" s="50" customFormat="1" ht="6.95" customHeight="1" spans="1:5">
      <c r="A77" s="69"/>
      <c r="B77" s="70"/>
      <c r="C77" s="69"/>
      <c r="D77" s="70"/>
      <c r="E77" s="59"/>
    </row>
    <row r="78" s="50" customFormat="1" ht="21.95" customHeight="1" spans="1:5">
      <c r="A78" s="79" t="s">
        <v>84</v>
      </c>
      <c r="B78" s="79"/>
      <c r="C78" s="79"/>
      <c r="D78" s="79"/>
      <c r="E78" s="59"/>
    </row>
    <row r="79" s="50" customFormat="1" ht="8.1" customHeight="1" spans="1:5">
      <c r="A79" s="69"/>
      <c r="B79" s="70"/>
      <c r="C79" s="69"/>
      <c r="D79" s="70"/>
      <c r="E79" s="59"/>
    </row>
    <row r="80" s="50" customFormat="1" ht="21.95" customHeight="1" spans="1:5">
      <c r="A80" s="69" t="s">
        <v>219</v>
      </c>
      <c r="B80" s="70" t="s">
        <v>86</v>
      </c>
      <c r="C80" s="69" t="s">
        <v>220</v>
      </c>
      <c r="D80" s="80">
        <f>D74/D75</f>
        <v>0.00833333333333333</v>
      </c>
      <c r="E80" s="59"/>
    </row>
    <row r="81" s="50" customFormat="1" ht="21.95" customHeight="1" spans="1:5">
      <c r="A81" s="69" t="s">
        <v>221</v>
      </c>
      <c r="B81" s="70" t="s">
        <v>192</v>
      </c>
      <c r="C81" s="69" t="s">
        <v>222</v>
      </c>
      <c r="D81" s="81">
        <f>ROUND(D72*D80,2)</f>
        <v>153.08</v>
      </c>
      <c r="E81" s="59"/>
    </row>
    <row r="82" s="51" customFormat="1" ht="21.95" customHeight="1" spans="1:5">
      <c r="A82" s="82" t="s">
        <v>81</v>
      </c>
      <c r="B82" s="82"/>
      <c r="C82" s="82"/>
      <c r="D82" s="86">
        <f>SUM(D76+D81)</f>
        <v>290.85</v>
      </c>
      <c r="E82" s="84"/>
    </row>
    <row r="83" s="51" customFormat="1" ht="6" customHeight="1" spans="1:5">
      <c r="A83" s="85"/>
      <c r="B83" s="85"/>
      <c r="C83" s="85"/>
      <c r="D83" s="85"/>
      <c r="E83" s="84"/>
    </row>
    <row r="84" s="50" customFormat="1" ht="24.95" customHeight="1" spans="1:5">
      <c r="A84" s="67" t="s">
        <v>245</v>
      </c>
      <c r="B84" s="67"/>
      <c r="C84" s="67"/>
      <c r="D84" s="67"/>
      <c r="E84" s="59"/>
    </row>
    <row r="85" s="50" customFormat="1" ht="21.95" customHeight="1" spans="1:5">
      <c r="A85" s="68" t="s">
        <v>183</v>
      </c>
      <c r="B85" s="68"/>
      <c r="C85" s="68"/>
      <c r="D85" s="68"/>
      <c r="E85" s="59"/>
    </row>
    <row r="86" s="50" customFormat="1" ht="6" customHeight="1" spans="1:5">
      <c r="A86" s="69"/>
      <c r="B86" s="70"/>
      <c r="C86" s="69"/>
      <c r="D86" s="70"/>
      <c r="E86" s="59"/>
    </row>
    <row r="87" s="50" customFormat="1" ht="20.1" customHeight="1" spans="1:5">
      <c r="A87" s="69" t="s">
        <v>136</v>
      </c>
      <c r="B87" s="71" t="s">
        <v>73</v>
      </c>
      <c r="C87" s="69" t="s">
        <v>138</v>
      </c>
      <c r="D87" s="72">
        <v>6687.15</v>
      </c>
      <c r="E87" s="59"/>
    </row>
    <row r="88" s="50" customFormat="1" ht="20.1" customHeight="1" spans="1:5">
      <c r="A88" s="69" t="s">
        <v>139</v>
      </c>
      <c r="B88" s="71" t="s">
        <v>76</v>
      </c>
      <c r="C88" s="69" t="s">
        <v>141</v>
      </c>
      <c r="D88" s="73">
        <f>12*4</f>
        <v>48</v>
      </c>
      <c r="E88" s="59"/>
    </row>
    <row r="89" s="50" customFormat="1" ht="20.1" customHeight="1" spans="1:5">
      <c r="A89" s="69" t="s">
        <v>142</v>
      </c>
      <c r="B89" s="74" t="s">
        <v>184</v>
      </c>
      <c r="C89" s="69" t="s">
        <v>144</v>
      </c>
      <c r="D89" s="75">
        <v>0.1</v>
      </c>
      <c r="E89" s="59"/>
    </row>
    <row r="90" s="50" customFormat="1" ht="20.1" customHeight="1" spans="1:5">
      <c r="A90" s="69" t="s">
        <v>145</v>
      </c>
      <c r="B90" s="71" t="s">
        <v>186</v>
      </c>
      <c r="C90" s="69" t="s">
        <v>147</v>
      </c>
      <c r="D90" s="76">
        <v>12</v>
      </c>
      <c r="E90" s="59"/>
    </row>
    <row r="91" s="50" customFormat="1" ht="20.1" customHeight="1" spans="1:5">
      <c r="A91" s="77" t="s">
        <v>188</v>
      </c>
      <c r="B91" s="77"/>
      <c r="C91" s="77"/>
      <c r="D91" s="78">
        <f>ROUND((D87/D88)-((D87*D89)/D88),2)</f>
        <v>125.38</v>
      </c>
      <c r="E91" s="59"/>
    </row>
    <row r="92" s="50" customFormat="1" ht="6.95" customHeight="1" spans="1:5">
      <c r="A92" s="69"/>
      <c r="B92" s="70"/>
      <c r="C92" s="69"/>
      <c r="D92" s="70"/>
      <c r="E92" s="59"/>
    </row>
    <row r="93" s="50" customFormat="1" ht="21.95" customHeight="1" spans="1:5">
      <c r="A93" s="79" t="s">
        <v>84</v>
      </c>
      <c r="B93" s="79"/>
      <c r="C93" s="79"/>
      <c r="D93" s="79"/>
      <c r="E93" s="59"/>
    </row>
    <row r="94" s="50" customFormat="1" ht="8.1" customHeight="1" spans="1:5">
      <c r="A94" s="69"/>
      <c r="B94" s="70"/>
      <c r="C94" s="69"/>
      <c r="D94" s="70"/>
      <c r="E94" s="59"/>
    </row>
    <row r="95" s="50" customFormat="1" ht="21.95" customHeight="1" spans="1:5">
      <c r="A95" s="69" t="s">
        <v>224</v>
      </c>
      <c r="B95" s="70" t="s">
        <v>86</v>
      </c>
      <c r="C95" s="69" t="s">
        <v>225</v>
      </c>
      <c r="D95" s="80">
        <f>D89/D90</f>
        <v>0.00833333333333333</v>
      </c>
      <c r="E95" s="59"/>
    </row>
    <row r="96" s="50" customFormat="1" ht="21.95" customHeight="1" spans="1:5">
      <c r="A96" s="69" t="s">
        <v>226</v>
      </c>
      <c r="B96" s="70" t="s">
        <v>192</v>
      </c>
      <c r="C96" s="69" t="s">
        <v>227</v>
      </c>
      <c r="D96" s="81">
        <f>ROUND(D87*D95,2)</f>
        <v>55.73</v>
      </c>
      <c r="E96" s="59"/>
    </row>
    <row r="97" s="51" customFormat="1" ht="21.95" customHeight="1" spans="1:5">
      <c r="A97" s="82" t="s">
        <v>81</v>
      </c>
      <c r="B97" s="82"/>
      <c r="C97" s="82"/>
      <c r="D97" s="86">
        <f>SUM(D91+D96)</f>
        <v>181.11</v>
      </c>
      <c r="E97" s="84"/>
    </row>
    <row r="98" s="51" customFormat="1" ht="6" customHeight="1" spans="1:5">
      <c r="A98" s="85"/>
      <c r="B98" s="85"/>
      <c r="C98" s="85"/>
      <c r="D98" s="85"/>
      <c r="E98" s="84"/>
    </row>
    <row r="99" s="50" customFormat="1" ht="24.95" customHeight="1" spans="1:5">
      <c r="A99" s="67" t="s">
        <v>246</v>
      </c>
      <c r="B99" s="67"/>
      <c r="C99" s="67"/>
      <c r="D99" s="67"/>
      <c r="E99" s="59"/>
    </row>
    <row r="100" s="50" customFormat="1" ht="21.95" customHeight="1" spans="1:5">
      <c r="A100" s="68" t="s">
        <v>183</v>
      </c>
      <c r="B100" s="68"/>
      <c r="C100" s="68"/>
      <c r="D100" s="68"/>
      <c r="E100" s="59"/>
    </row>
    <row r="101" s="50" customFormat="1" ht="6" customHeight="1" spans="1:5">
      <c r="A101" s="69"/>
      <c r="B101" s="70"/>
      <c r="C101" s="69"/>
      <c r="D101" s="70"/>
      <c r="E101" s="59"/>
    </row>
    <row r="102" s="50" customFormat="1" ht="20.1" customHeight="1" spans="1:5">
      <c r="A102" s="69" t="s">
        <v>151</v>
      </c>
      <c r="B102" s="71" t="s">
        <v>73</v>
      </c>
      <c r="C102" s="69" t="s">
        <v>153</v>
      </c>
      <c r="D102" s="72">
        <v>1212.95</v>
      </c>
      <c r="E102" s="59"/>
    </row>
    <row r="103" s="50" customFormat="1" ht="20.1" customHeight="1" spans="1:5">
      <c r="A103" s="69" t="s">
        <v>156</v>
      </c>
      <c r="B103" s="71" t="s">
        <v>76</v>
      </c>
      <c r="C103" s="69" t="s">
        <v>158</v>
      </c>
      <c r="D103" s="73">
        <f>12*2</f>
        <v>24</v>
      </c>
      <c r="E103" s="59"/>
    </row>
    <row r="104" s="50" customFormat="1" ht="20.1" customHeight="1" spans="1:5">
      <c r="A104" s="69" t="s">
        <v>229</v>
      </c>
      <c r="B104" s="74" t="s">
        <v>184</v>
      </c>
      <c r="C104" s="69" t="s">
        <v>230</v>
      </c>
      <c r="D104" s="75">
        <v>0.1</v>
      </c>
      <c r="E104" s="59"/>
    </row>
    <row r="105" s="50" customFormat="1" ht="20.1" customHeight="1" spans="1:5">
      <c r="A105" s="69" t="s">
        <v>231</v>
      </c>
      <c r="B105" s="71" t="s">
        <v>186</v>
      </c>
      <c r="C105" s="69" t="s">
        <v>232</v>
      </c>
      <c r="D105" s="76">
        <v>12</v>
      </c>
      <c r="E105" s="59"/>
    </row>
    <row r="106" s="50" customFormat="1" ht="20.1" customHeight="1" spans="1:5">
      <c r="A106" s="77" t="s">
        <v>188</v>
      </c>
      <c r="B106" s="77"/>
      <c r="C106" s="77"/>
      <c r="D106" s="78">
        <f>ROUND((D102/D103)-((D102*D104)/D103),2)</f>
        <v>45.49</v>
      </c>
      <c r="E106" s="59"/>
    </row>
    <row r="107" s="50" customFormat="1" ht="6.95" customHeight="1" spans="1:5">
      <c r="A107" s="69"/>
      <c r="B107" s="70"/>
      <c r="C107" s="69"/>
      <c r="D107" s="70"/>
      <c r="E107" s="59"/>
    </row>
    <row r="108" s="50" customFormat="1" ht="21.95" customHeight="1" spans="1:5">
      <c r="A108" s="79" t="s">
        <v>84</v>
      </c>
      <c r="B108" s="79"/>
      <c r="C108" s="79"/>
      <c r="D108" s="79"/>
      <c r="E108" s="59"/>
    </row>
    <row r="109" s="50" customFormat="1" ht="8.1" customHeight="1" spans="1:5">
      <c r="A109" s="69"/>
      <c r="B109" s="70"/>
      <c r="C109" s="69"/>
      <c r="D109" s="70"/>
      <c r="E109" s="59"/>
    </row>
    <row r="110" s="50" customFormat="1" ht="21.95" customHeight="1" spans="1:5">
      <c r="A110" s="69" t="s">
        <v>233</v>
      </c>
      <c r="B110" s="70" t="s">
        <v>86</v>
      </c>
      <c r="C110" s="69" t="s">
        <v>234</v>
      </c>
      <c r="D110" s="80">
        <f>D104/D103</f>
        <v>0.00416666666666667</v>
      </c>
      <c r="E110" s="59"/>
    </row>
    <row r="111" s="50" customFormat="1" ht="21.95" customHeight="1" spans="1:5">
      <c r="A111" s="69" t="s">
        <v>235</v>
      </c>
      <c r="B111" s="70" t="s">
        <v>192</v>
      </c>
      <c r="C111" s="69" t="s">
        <v>236</v>
      </c>
      <c r="D111" s="81">
        <f>ROUND(D102*D110,2)</f>
        <v>5.05</v>
      </c>
      <c r="E111" s="59"/>
    </row>
    <row r="112" s="51" customFormat="1" ht="21.95" customHeight="1" spans="1:5">
      <c r="A112" s="82" t="s">
        <v>81</v>
      </c>
      <c r="B112" s="82"/>
      <c r="C112" s="82"/>
      <c r="D112" s="86">
        <f>SUM(D106+D111)</f>
        <v>50.54</v>
      </c>
      <c r="E112" s="84"/>
    </row>
    <row r="113" s="51" customFormat="1" ht="6" customHeight="1" spans="1:5">
      <c r="A113" s="85"/>
      <c r="B113" s="85"/>
      <c r="C113" s="85"/>
      <c r="D113" s="85"/>
      <c r="E113" s="84"/>
    </row>
    <row r="114" s="50" customFormat="1" ht="24.95" customHeight="1" spans="1:5">
      <c r="A114" s="67" t="s">
        <v>247</v>
      </c>
      <c r="B114" s="67"/>
      <c r="C114" s="67"/>
      <c r="D114" s="67"/>
      <c r="E114" s="59"/>
    </row>
    <row r="115" s="50" customFormat="1" ht="21.95" customHeight="1" spans="1:5">
      <c r="A115" s="68" t="s">
        <v>183</v>
      </c>
      <c r="B115" s="68"/>
      <c r="C115" s="68"/>
      <c r="D115" s="68"/>
      <c r="E115" s="59"/>
    </row>
    <row r="116" s="50" customFormat="1" ht="6" customHeight="1" spans="1:5">
      <c r="A116" s="69"/>
      <c r="B116" s="70"/>
      <c r="C116" s="69"/>
      <c r="D116" s="70"/>
      <c r="E116" s="59"/>
    </row>
    <row r="117" s="50" customFormat="1" ht="20.1" customHeight="1" spans="1:5">
      <c r="A117" s="69" t="s">
        <v>165</v>
      </c>
      <c r="B117" s="71" t="s">
        <v>73</v>
      </c>
      <c r="C117" s="69" t="s">
        <v>248</v>
      </c>
      <c r="D117" s="72">
        <v>1691.03</v>
      </c>
      <c r="E117" s="59"/>
    </row>
    <row r="118" s="50" customFormat="1" ht="20.1" customHeight="1" spans="1:5">
      <c r="A118" s="69" t="s">
        <v>249</v>
      </c>
      <c r="B118" s="71" t="s">
        <v>76</v>
      </c>
      <c r="C118" s="69" t="s">
        <v>250</v>
      </c>
      <c r="D118" s="73">
        <f>12*2</f>
        <v>24</v>
      </c>
      <c r="E118" s="59"/>
    </row>
    <row r="119" s="50" customFormat="1" ht="20.1" customHeight="1" spans="1:5">
      <c r="A119" s="69" t="s">
        <v>251</v>
      </c>
      <c r="B119" s="74" t="s">
        <v>184</v>
      </c>
      <c r="C119" s="69" t="s">
        <v>252</v>
      </c>
      <c r="D119" s="75">
        <v>0.1</v>
      </c>
      <c r="E119" s="59"/>
    </row>
    <row r="120" s="50" customFormat="1" ht="20.1" customHeight="1" spans="1:5">
      <c r="A120" s="69" t="s">
        <v>253</v>
      </c>
      <c r="B120" s="71" t="s">
        <v>186</v>
      </c>
      <c r="C120" s="69" t="s">
        <v>254</v>
      </c>
      <c r="D120" s="76">
        <v>12</v>
      </c>
      <c r="E120" s="59"/>
    </row>
    <row r="121" s="50" customFormat="1" ht="20.1" customHeight="1" spans="1:5">
      <c r="A121" s="77" t="s">
        <v>188</v>
      </c>
      <c r="B121" s="77"/>
      <c r="C121" s="77"/>
      <c r="D121" s="78">
        <f>ROUND((D117/D118)-((D117*D119)/D118),2)</f>
        <v>63.41</v>
      </c>
      <c r="E121" s="59"/>
    </row>
    <row r="122" s="50" customFormat="1" ht="6.95" customHeight="1" spans="1:5">
      <c r="A122" s="69"/>
      <c r="B122" s="70"/>
      <c r="C122" s="69"/>
      <c r="D122" s="70"/>
      <c r="E122" s="59"/>
    </row>
    <row r="123" s="50" customFormat="1" ht="21.95" customHeight="1" spans="1:5">
      <c r="A123" s="79" t="s">
        <v>84</v>
      </c>
      <c r="B123" s="79"/>
      <c r="C123" s="79"/>
      <c r="D123" s="79"/>
      <c r="E123" s="59"/>
    </row>
    <row r="124" s="50" customFormat="1" ht="8.1" customHeight="1" spans="1:5">
      <c r="A124" s="69"/>
      <c r="B124" s="70"/>
      <c r="C124" s="69"/>
      <c r="D124" s="70"/>
      <c r="E124" s="59"/>
    </row>
    <row r="125" s="50" customFormat="1" ht="21.95" customHeight="1" spans="1:5">
      <c r="A125" s="69" t="s">
        <v>255</v>
      </c>
      <c r="B125" s="70" t="s">
        <v>86</v>
      </c>
      <c r="C125" s="69" t="s">
        <v>256</v>
      </c>
      <c r="D125" s="80">
        <f>D119/D118</f>
        <v>0.00416666666666667</v>
      </c>
      <c r="E125" s="59"/>
    </row>
    <row r="126" s="50" customFormat="1" ht="21.95" customHeight="1" spans="1:5">
      <c r="A126" s="69" t="s">
        <v>257</v>
      </c>
      <c r="B126" s="70" t="s">
        <v>192</v>
      </c>
      <c r="C126" s="69" t="s">
        <v>258</v>
      </c>
      <c r="D126" s="81">
        <f>ROUND(D117*D125,2)</f>
        <v>7.05</v>
      </c>
      <c r="E126" s="59"/>
    </row>
    <row r="127" s="51" customFormat="1" ht="21.95" customHeight="1" spans="1:5">
      <c r="A127" s="82" t="s">
        <v>81</v>
      </c>
      <c r="B127" s="82"/>
      <c r="C127" s="82"/>
      <c r="D127" s="86">
        <f>SUM(D121+D126)</f>
        <v>70.46</v>
      </c>
      <c r="E127" s="84"/>
    </row>
    <row r="128" s="51" customFormat="1" ht="6" customHeight="1" spans="1:5">
      <c r="A128" s="85"/>
      <c r="B128" s="85"/>
      <c r="C128" s="85"/>
      <c r="D128" s="85"/>
      <c r="E128" s="84"/>
    </row>
    <row r="129" s="50" customFormat="1" ht="24.95" customHeight="1" spans="1:5">
      <c r="A129" s="67" t="s">
        <v>259</v>
      </c>
      <c r="B129" s="67"/>
      <c r="C129" s="67"/>
      <c r="D129" s="67"/>
      <c r="E129" s="59"/>
    </row>
    <row r="130" s="50" customFormat="1" ht="21.95" customHeight="1" spans="1:5">
      <c r="A130" s="68" t="s">
        <v>183</v>
      </c>
      <c r="B130" s="68"/>
      <c r="C130" s="68"/>
      <c r="D130" s="68"/>
      <c r="E130" s="59"/>
    </row>
    <row r="131" s="50" customFormat="1" ht="6" customHeight="1" spans="1:5">
      <c r="A131" s="69"/>
      <c r="B131" s="70"/>
      <c r="C131" s="69"/>
      <c r="D131" s="70"/>
      <c r="E131" s="59"/>
    </row>
    <row r="132" s="50" customFormat="1" ht="20.1" customHeight="1" spans="1:5">
      <c r="A132" s="69" t="s">
        <v>260</v>
      </c>
      <c r="B132" s="71" t="s">
        <v>73</v>
      </c>
      <c r="C132" s="69" t="s">
        <v>261</v>
      </c>
      <c r="D132" s="72">
        <v>251.39</v>
      </c>
      <c r="E132" s="59"/>
    </row>
    <row r="133" s="50" customFormat="1" ht="20.1" customHeight="1" spans="1:5">
      <c r="A133" s="69" t="s">
        <v>262</v>
      </c>
      <c r="B133" s="71" t="s">
        <v>76</v>
      </c>
      <c r="C133" s="69" t="s">
        <v>263</v>
      </c>
      <c r="D133" s="73">
        <f>12*2</f>
        <v>24</v>
      </c>
      <c r="E133" s="59"/>
    </row>
    <row r="134" s="50" customFormat="1" ht="20.1" customHeight="1" spans="1:5">
      <c r="A134" s="69" t="s">
        <v>264</v>
      </c>
      <c r="B134" s="74" t="s">
        <v>184</v>
      </c>
      <c r="C134" s="69" t="s">
        <v>265</v>
      </c>
      <c r="D134" s="75">
        <v>0.1</v>
      </c>
      <c r="E134" s="59"/>
    </row>
    <row r="135" s="50" customFormat="1" ht="20.1" customHeight="1" spans="1:5">
      <c r="A135" s="69" t="s">
        <v>266</v>
      </c>
      <c r="B135" s="71" t="s">
        <v>186</v>
      </c>
      <c r="C135" s="69" t="s">
        <v>267</v>
      </c>
      <c r="D135" s="76">
        <v>12</v>
      </c>
      <c r="E135" s="59"/>
    </row>
    <row r="136" s="50" customFormat="1" ht="20.1" customHeight="1" spans="1:5">
      <c r="A136" s="77" t="s">
        <v>188</v>
      </c>
      <c r="B136" s="77"/>
      <c r="C136" s="77"/>
      <c r="D136" s="78">
        <f>ROUND((D132/D133)-((D132*D134)/D133),2)</f>
        <v>9.43</v>
      </c>
      <c r="E136" s="59"/>
    </row>
    <row r="137" s="50" customFormat="1" ht="6.95" customHeight="1" spans="1:5">
      <c r="A137" s="69"/>
      <c r="B137" s="70"/>
      <c r="C137" s="69"/>
      <c r="D137" s="70"/>
      <c r="E137" s="59"/>
    </row>
    <row r="138" s="50" customFormat="1" ht="21.95" customHeight="1" spans="1:5">
      <c r="A138" s="79" t="s">
        <v>84</v>
      </c>
      <c r="B138" s="79"/>
      <c r="C138" s="79"/>
      <c r="D138" s="79"/>
      <c r="E138" s="59"/>
    </row>
    <row r="139" s="50" customFormat="1" ht="8.1" customHeight="1" spans="1:5">
      <c r="A139" s="69"/>
      <c r="B139" s="70"/>
      <c r="C139" s="69"/>
      <c r="D139" s="70"/>
      <c r="E139" s="59"/>
    </row>
    <row r="140" s="50" customFormat="1" ht="21.95" customHeight="1" spans="1:5">
      <c r="A140" s="69" t="s">
        <v>268</v>
      </c>
      <c r="B140" s="70" t="s">
        <v>86</v>
      </c>
      <c r="C140" s="69" t="s">
        <v>269</v>
      </c>
      <c r="D140" s="80">
        <f>D134/D133</f>
        <v>0.00416666666666667</v>
      </c>
      <c r="E140" s="59"/>
    </row>
    <row r="141" s="50" customFormat="1" ht="21.95" customHeight="1" spans="1:5">
      <c r="A141" s="69" t="s">
        <v>270</v>
      </c>
      <c r="B141" s="70" t="s">
        <v>192</v>
      </c>
      <c r="C141" s="69" t="s">
        <v>271</v>
      </c>
      <c r="D141" s="81">
        <f>ROUND(D132*D140,2)</f>
        <v>1.05</v>
      </c>
      <c r="E141" s="59"/>
    </row>
    <row r="142" s="51" customFormat="1" ht="21.95" customHeight="1" spans="1:5">
      <c r="A142" s="82" t="s">
        <v>81</v>
      </c>
      <c r="B142" s="82"/>
      <c r="C142" s="82"/>
      <c r="D142" s="86">
        <f>SUM(D136+D141)</f>
        <v>10.48</v>
      </c>
      <c r="E142" s="84"/>
    </row>
    <row r="143" s="51" customFormat="1" ht="6" customHeight="1" spans="1:5">
      <c r="A143" s="85"/>
      <c r="B143" s="85"/>
      <c r="C143" s="85"/>
      <c r="D143" s="85"/>
      <c r="E143" s="84"/>
    </row>
    <row r="144" s="50" customFormat="1" ht="24.95" customHeight="1" spans="1:5">
      <c r="A144" s="67" t="s">
        <v>272</v>
      </c>
      <c r="B144" s="67"/>
      <c r="C144" s="67"/>
      <c r="D144" s="67"/>
      <c r="E144" s="59"/>
    </row>
    <row r="145" s="50" customFormat="1" ht="21.95" customHeight="1" spans="1:5">
      <c r="A145" s="68" t="s">
        <v>183</v>
      </c>
      <c r="B145" s="68"/>
      <c r="C145" s="68"/>
      <c r="D145" s="68"/>
      <c r="E145" s="59"/>
    </row>
    <row r="146" s="50" customFormat="1" ht="6" customHeight="1" spans="1:5">
      <c r="A146" s="69"/>
      <c r="B146" s="70"/>
      <c r="C146" s="69"/>
      <c r="D146" s="70"/>
      <c r="E146" s="59"/>
    </row>
    <row r="147" s="50" customFormat="1" ht="20.1" customHeight="1" spans="1:5">
      <c r="A147" s="69" t="s">
        <v>273</v>
      </c>
      <c r="B147" s="71" t="s">
        <v>73</v>
      </c>
      <c r="C147" s="69" t="s">
        <v>274</v>
      </c>
      <c r="D147" s="72">
        <v>425</v>
      </c>
      <c r="E147" s="59"/>
    </row>
    <row r="148" s="50" customFormat="1" ht="20.1" customHeight="1" spans="1:5">
      <c r="A148" s="69" t="s">
        <v>275</v>
      </c>
      <c r="B148" s="71" t="s">
        <v>76</v>
      </c>
      <c r="C148" s="69" t="s">
        <v>276</v>
      </c>
      <c r="D148" s="73">
        <f>12*2</f>
        <v>24</v>
      </c>
      <c r="E148" s="59"/>
    </row>
    <row r="149" s="50" customFormat="1" ht="20.1" customHeight="1" spans="1:5">
      <c r="A149" s="69" t="s">
        <v>277</v>
      </c>
      <c r="B149" s="74" t="s">
        <v>184</v>
      </c>
      <c r="C149" s="69" t="s">
        <v>278</v>
      </c>
      <c r="D149" s="75">
        <v>0.1</v>
      </c>
      <c r="E149" s="59"/>
    </row>
    <row r="150" s="50" customFormat="1" ht="20.1" customHeight="1" spans="1:5">
      <c r="A150" s="69" t="s">
        <v>279</v>
      </c>
      <c r="B150" s="71" t="s">
        <v>186</v>
      </c>
      <c r="C150" s="69" t="s">
        <v>280</v>
      </c>
      <c r="D150" s="76">
        <v>12</v>
      </c>
      <c r="E150" s="59"/>
    </row>
    <row r="151" s="50" customFormat="1" ht="20.1" customHeight="1" spans="1:5">
      <c r="A151" s="77" t="s">
        <v>188</v>
      </c>
      <c r="B151" s="77"/>
      <c r="C151" s="77"/>
      <c r="D151" s="78">
        <f>ROUND((D147/D148)-((D147*D149)/D148),2)</f>
        <v>15.94</v>
      </c>
      <c r="E151" s="59"/>
    </row>
    <row r="152" s="50" customFormat="1" ht="6.95" customHeight="1" spans="1:5">
      <c r="A152" s="69"/>
      <c r="B152" s="70"/>
      <c r="C152" s="69"/>
      <c r="D152" s="70"/>
      <c r="E152" s="59"/>
    </row>
    <row r="153" s="50" customFormat="1" ht="21.95" customHeight="1" spans="1:5">
      <c r="A153" s="79" t="s">
        <v>84</v>
      </c>
      <c r="B153" s="79"/>
      <c r="C153" s="79"/>
      <c r="D153" s="79"/>
      <c r="E153" s="59"/>
    </row>
    <row r="154" s="50" customFormat="1" ht="8.1" customHeight="1" spans="1:5">
      <c r="A154" s="69"/>
      <c r="B154" s="70"/>
      <c r="C154" s="69"/>
      <c r="D154" s="70"/>
      <c r="E154" s="59"/>
    </row>
    <row r="155" s="50" customFormat="1" ht="21.95" customHeight="1" spans="1:5">
      <c r="A155" s="69" t="s">
        <v>281</v>
      </c>
      <c r="B155" s="70" t="s">
        <v>86</v>
      </c>
      <c r="C155" s="69" t="s">
        <v>282</v>
      </c>
      <c r="D155" s="80">
        <f>D149/D148</f>
        <v>0.00416666666666667</v>
      </c>
      <c r="E155" s="59"/>
    </row>
    <row r="156" s="50" customFormat="1" ht="21.95" customHeight="1" spans="1:5">
      <c r="A156" s="69" t="s">
        <v>283</v>
      </c>
      <c r="B156" s="70" t="s">
        <v>192</v>
      </c>
      <c r="C156" s="69" t="s">
        <v>284</v>
      </c>
      <c r="D156" s="81">
        <f>ROUND(D147*D155,2)</f>
        <v>1.77</v>
      </c>
      <c r="E156" s="59"/>
    </row>
    <row r="157" s="51" customFormat="1" ht="21.95" customHeight="1" spans="1:5">
      <c r="A157" s="82" t="s">
        <v>81</v>
      </c>
      <c r="B157" s="82"/>
      <c r="C157" s="82"/>
      <c r="D157" s="86">
        <f>SUM(D151+D156)</f>
        <v>17.71</v>
      </c>
      <c r="E157" s="84"/>
    </row>
    <row r="158" s="51" customFormat="1" ht="6" customHeight="1" spans="1:5">
      <c r="A158" s="85"/>
      <c r="B158" s="85"/>
      <c r="C158" s="85"/>
      <c r="D158" s="85"/>
      <c r="E158" s="84"/>
    </row>
    <row r="159" s="50" customFormat="1" ht="24.95" customHeight="1" spans="1:5">
      <c r="A159" s="67" t="s">
        <v>285</v>
      </c>
      <c r="B159" s="67"/>
      <c r="C159" s="67"/>
      <c r="D159" s="67"/>
      <c r="E159" s="59"/>
    </row>
    <row r="160" s="50" customFormat="1" ht="21.95" customHeight="1" spans="1:5">
      <c r="A160" s="68" t="s">
        <v>183</v>
      </c>
      <c r="B160" s="68"/>
      <c r="C160" s="68"/>
      <c r="D160" s="68"/>
      <c r="E160" s="59"/>
    </row>
    <row r="161" s="50" customFormat="1" ht="6" customHeight="1" spans="1:5">
      <c r="A161" s="69"/>
      <c r="B161" s="70"/>
      <c r="C161" s="69"/>
      <c r="D161" s="70"/>
      <c r="E161" s="59"/>
    </row>
    <row r="162" s="50" customFormat="1" ht="20.1" customHeight="1" spans="1:5">
      <c r="A162" s="69" t="s">
        <v>286</v>
      </c>
      <c r="B162" s="71" t="s">
        <v>73</v>
      </c>
      <c r="C162" s="69" t="s">
        <v>287</v>
      </c>
      <c r="D162" s="72">
        <v>294.67</v>
      </c>
      <c r="E162" s="59"/>
    </row>
    <row r="163" s="50" customFormat="1" ht="20.1" customHeight="1" spans="1:5">
      <c r="A163" s="69" t="s">
        <v>288</v>
      </c>
      <c r="B163" s="71" t="s">
        <v>76</v>
      </c>
      <c r="C163" s="69" t="s">
        <v>289</v>
      </c>
      <c r="D163" s="73">
        <f>12*2</f>
        <v>24</v>
      </c>
      <c r="E163" s="59"/>
    </row>
    <row r="164" s="50" customFormat="1" ht="20.1" customHeight="1" spans="1:5">
      <c r="A164" s="69" t="s">
        <v>290</v>
      </c>
      <c r="B164" s="74" t="s">
        <v>184</v>
      </c>
      <c r="C164" s="69" t="s">
        <v>291</v>
      </c>
      <c r="D164" s="75">
        <v>0.1</v>
      </c>
      <c r="E164" s="59"/>
    </row>
    <row r="165" s="50" customFormat="1" ht="20.1" customHeight="1" spans="1:5">
      <c r="A165" s="69" t="s">
        <v>292</v>
      </c>
      <c r="B165" s="71" t="s">
        <v>186</v>
      </c>
      <c r="C165" s="69" t="s">
        <v>293</v>
      </c>
      <c r="D165" s="76">
        <v>12</v>
      </c>
      <c r="E165" s="59"/>
    </row>
    <row r="166" s="50" customFormat="1" ht="20.1" customHeight="1" spans="1:5">
      <c r="A166" s="77" t="s">
        <v>188</v>
      </c>
      <c r="B166" s="77"/>
      <c r="C166" s="77"/>
      <c r="D166" s="87">
        <f>ROUND((D162/D163)-((D162*D164)/D163),2)</f>
        <v>11.05</v>
      </c>
      <c r="E166" s="59"/>
    </row>
    <row r="167" s="50" customFormat="1" ht="6.95" customHeight="1" spans="1:5">
      <c r="A167" s="69"/>
      <c r="B167" s="70"/>
      <c r="C167" s="69"/>
      <c r="D167" s="70"/>
      <c r="E167" s="59"/>
    </row>
    <row r="168" s="50" customFormat="1" ht="21.95" customHeight="1" spans="1:5">
      <c r="A168" s="79" t="s">
        <v>84</v>
      </c>
      <c r="B168" s="79"/>
      <c r="C168" s="79"/>
      <c r="D168" s="79"/>
      <c r="E168" s="59"/>
    </row>
    <row r="169" s="50" customFormat="1" ht="8.1" customHeight="1" spans="1:5">
      <c r="A169" s="69"/>
      <c r="B169" s="70"/>
      <c r="C169" s="69"/>
      <c r="D169" s="70"/>
      <c r="E169" s="59"/>
    </row>
    <row r="170" s="50" customFormat="1" ht="21.95" customHeight="1" spans="1:5">
      <c r="A170" s="69" t="s">
        <v>294</v>
      </c>
      <c r="B170" s="70" t="s">
        <v>86</v>
      </c>
      <c r="C170" s="69" t="s">
        <v>295</v>
      </c>
      <c r="D170" s="80">
        <f>D164/D163</f>
        <v>0.00416666666666667</v>
      </c>
      <c r="E170" s="59"/>
    </row>
    <row r="171" s="50" customFormat="1" ht="21.95" customHeight="1" spans="1:5">
      <c r="A171" s="69" t="s">
        <v>296</v>
      </c>
      <c r="B171" s="70" t="s">
        <v>192</v>
      </c>
      <c r="C171" s="69" t="s">
        <v>297</v>
      </c>
      <c r="D171" s="81">
        <f>ROUND(D162*D170,2)</f>
        <v>1.23</v>
      </c>
      <c r="E171" s="59"/>
    </row>
    <row r="172" s="51" customFormat="1" ht="21.95" customHeight="1" spans="1:5">
      <c r="A172" s="82" t="s">
        <v>81</v>
      </c>
      <c r="B172" s="82"/>
      <c r="C172" s="82"/>
      <c r="D172" s="86">
        <f>SUM(D166+D171)</f>
        <v>12.28</v>
      </c>
      <c r="E172" s="84"/>
    </row>
    <row r="173" s="51" customFormat="1" ht="6" customHeight="1" spans="1:5">
      <c r="A173" s="85"/>
      <c r="B173" s="85"/>
      <c r="C173" s="85"/>
      <c r="D173" s="85"/>
      <c r="E173" s="84"/>
    </row>
    <row r="174" s="50" customFormat="1" ht="24.95" customHeight="1" spans="1:5">
      <c r="A174" s="67" t="s">
        <v>298</v>
      </c>
      <c r="B174" s="67"/>
      <c r="C174" s="67"/>
      <c r="D174" s="67"/>
      <c r="E174" s="59"/>
    </row>
    <row r="175" s="50" customFormat="1" ht="21.95" customHeight="1" spans="1:5">
      <c r="A175" s="68" t="s">
        <v>183</v>
      </c>
      <c r="B175" s="68"/>
      <c r="C175" s="68"/>
      <c r="D175" s="68"/>
      <c r="E175" s="59"/>
    </row>
    <row r="176" s="50" customFormat="1" ht="6" customHeight="1" spans="1:5">
      <c r="A176" s="69"/>
      <c r="B176" s="70"/>
      <c r="C176" s="69"/>
      <c r="D176" s="70"/>
      <c r="E176" s="59"/>
    </row>
    <row r="177" s="50" customFormat="1" ht="20.1" customHeight="1" spans="1:5">
      <c r="A177" s="69" t="s">
        <v>299</v>
      </c>
      <c r="B177" s="71" t="s">
        <v>73</v>
      </c>
      <c r="C177" s="69" t="s">
        <v>300</v>
      </c>
      <c r="D177" s="72">
        <v>72.88</v>
      </c>
      <c r="E177" s="59"/>
    </row>
    <row r="178" s="50" customFormat="1" ht="20.1" customHeight="1" spans="1:5">
      <c r="A178" s="69" t="s">
        <v>301</v>
      </c>
      <c r="B178" s="71" t="s">
        <v>76</v>
      </c>
      <c r="C178" s="69" t="s">
        <v>302</v>
      </c>
      <c r="D178" s="73">
        <f>12</f>
        <v>12</v>
      </c>
      <c r="E178" s="59"/>
    </row>
    <row r="179" s="50" customFormat="1" ht="20.1" customHeight="1" spans="1:5">
      <c r="A179" s="69" t="s">
        <v>303</v>
      </c>
      <c r="B179" s="74" t="s">
        <v>184</v>
      </c>
      <c r="C179" s="69" t="s">
        <v>304</v>
      </c>
      <c r="D179" s="75">
        <v>0.1</v>
      </c>
      <c r="E179" s="59"/>
    </row>
    <row r="180" s="50" customFormat="1" ht="20.1" customHeight="1" spans="1:5">
      <c r="A180" s="69" t="s">
        <v>305</v>
      </c>
      <c r="B180" s="71" t="s">
        <v>186</v>
      </c>
      <c r="C180" s="69" t="s">
        <v>306</v>
      </c>
      <c r="D180" s="76">
        <v>12</v>
      </c>
      <c r="E180" s="59"/>
    </row>
    <row r="181" s="50" customFormat="1" ht="20.1" customHeight="1" spans="1:5">
      <c r="A181" s="77" t="s">
        <v>188</v>
      </c>
      <c r="B181" s="77"/>
      <c r="C181" s="77"/>
      <c r="D181" s="78">
        <f>ROUND((D177/D178)-((D177*D179)/D178),2)</f>
        <v>5.47</v>
      </c>
      <c r="E181" s="59"/>
    </row>
    <row r="182" s="50" customFormat="1" ht="6.95" customHeight="1" spans="1:5">
      <c r="A182" s="69"/>
      <c r="B182" s="70"/>
      <c r="C182" s="69"/>
      <c r="D182" s="70"/>
      <c r="E182" s="59"/>
    </row>
    <row r="183" s="50" customFormat="1" ht="21.95" customHeight="1" spans="1:5">
      <c r="A183" s="79" t="s">
        <v>84</v>
      </c>
      <c r="B183" s="79"/>
      <c r="C183" s="79"/>
      <c r="D183" s="79"/>
      <c r="E183" s="59"/>
    </row>
    <row r="184" s="50" customFormat="1" ht="8.1" customHeight="1" spans="1:5">
      <c r="A184" s="69"/>
      <c r="B184" s="70"/>
      <c r="C184" s="69"/>
      <c r="D184" s="70"/>
      <c r="E184" s="59"/>
    </row>
    <row r="185" s="50" customFormat="1" ht="21.95" customHeight="1" spans="1:5">
      <c r="A185" s="69" t="s">
        <v>307</v>
      </c>
      <c r="B185" s="70" t="s">
        <v>86</v>
      </c>
      <c r="C185" s="69" t="s">
        <v>308</v>
      </c>
      <c r="D185" s="80">
        <f>D179/D178</f>
        <v>0.00833333333333333</v>
      </c>
      <c r="E185" s="59"/>
    </row>
    <row r="186" s="50" customFormat="1" ht="21.95" customHeight="1" spans="1:5">
      <c r="A186" s="69" t="s">
        <v>309</v>
      </c>
      <c r="B186" s="70" t="s">
        <v>192</v>
      </c>
      <c r="C186" s="69" t="s">
        <v>310</v>
      </c>
      <c r="D186" s="81">
        <f>ROUND(D177*D185,2)</f>
        <v>0.61</v>
      </c>
      <c r="E186" s="59"/>
    </row>
    <row r="187" s="51" customFormat="1" ht="21.95" customHeight="1" spans="1:5">
      <c r="A187" s="82" t="s">
        <v>81</v>
      </c>
      <c r="B187" s="82"/>
      <c r="C187" s="82"/>
      <c r="D187" s="86">
        <f>SUM(D181+D186)</f>
        <v>6.08</v>
      </c>
      <c r="E187" s="84"/>
    </row>
    <row r="188" s="51" customFormat="1" ht="6" customHeight="1" spans="1:5">
      <c r="A188" s="85"/>
      <c r="B188" s="85"/>
      <c r="C188" s="85"/>
      <c r="D188" s="85"/>
      <c r="E188" s="84"/>
    </row>
    <row r="189" s="50" customFormat="1" ht="24.95" customHeight="1" spans="1:5">
      <c r="A189" s="67" t="s">
        <v>311</v>
      </c>
      <c r="B189" s="67"/>
      <c r="C189" s="67"/>
      <c r="D189" s="67"/>
      <c r="E189" s="59"/>
    </row>
    <row r="190" s="50" customFormat="1" ht="21.95" customHeight="1" spans="1:5">
      <c r="A190" s="68" t="s">
        <v>183</v>
      </c>
      <c r="B190" s="68"/>
      <c r="C190" s="68"/>
      <c r="D190" s="68"/>
      <c r="E190" s="59"/>
    </row>
    <row r="191" s="50" customFormat="1" ht="6" customHeight="1" spans="1:5">
      <c r="A191" s="69"/>
      <c r="B191" s="70"/>
      <c r="C191" s="69"/>
      <c r="D191" s="70"/>
      <c r="E191" s="59"/>
    </row>
    <row r="192" s="50" customFormat="1" ht="20.1" customHeight="1" spans="1:5">
      <c r="A192" s="69" t="s">
        <v>312</v>
      </c>
      <c r="B192" s="71" t="s">
        <v>73</v>
      </c>
      <c r="C192" s="69" t="s">
        <v>313</v>
      </c>
      <c r="D192" s="72">
        <v>31.02</v>
      </c>
      <c r="E192" s="59"/>
    </row>
    <row r="193" s="50" customFormat="1" ht="20.1" customHeight="1" spans="1:5">
      <c r="A193" s="69" t="s">
        <v>314</v>
      </c>
      <c r="B193" s="71" t="s">
        <v>76</v>
      </c>
      <c r="C193" s="69" t="s">
        <v>315</v>
      </c>
      <c r="D193" s="73">
        <f>12*2</f>
        <v>24</v>
      </c>
      <c r="E193" s="59"/>
    </row>
    <row r="194" s="50" customFormat="1" ht="20.1" customHeight="1" spans="1:5">
      <c r="A194" s="69" t="s">
        <v>316</v>
      </c>
      <c r="B194" s="74" t="s">
        <v>184</v>
      </c>
      <c r="C194" s="69" t="s">
        <v>317</v>
      </c>
      <c r="D194" s="75">
        <v>0.1</v>
      </c>
      <c r="E194" s="59"/>
    </row>
    <row r="195" s="50" customFormat="1" ht="20.1" customHeight="1" spans="1:5">
      <c r="A195" s="69" t="s">
        <v>318</v>
      </c>
      <c r="B195" s="71" t="s">
        <v>186</v>
      </c>
      <c r="C195" s="69" t="s">
        <v>319</v>
      </c>
      <c r="D195" s="76">
        <v>12</v>
      </c>
      <c r="E195" s="59"/>
    </row>
    <row r="196" s="50" customFormat="1" ht="20.1" customHeight="1" spans="1:5">
      <c r="A196" s="77" t="s">
        <v>188</v>
      </c>
      <c r="B196" s="77"/>
      <c r="C196" s="77"/>
      <c r="D196" s="78">
        <f>ROUND((D192/D193)-((D192*D194)/D193),2)</f>
        <v>1.16</v>
      </c>
      <c r="E196" s="59"/>
    </row>
    <row r="197" s="50" customFormat="1" ht="6.95" customHeight="1" spans="1:5">
      <c r="A197" s="69"/>
      <c r="B197" s="70"/>
      <c r="C197" s="69"/>
      <c r="D197" s="70"/>
      <c r="E197" s="59"/>
    </row>
    <row r="198" s="50" customFormat="1" ht="21.95" customHeight="1" spans="1:5">
      <c r="A198" s="79" t="s">
        <v>84</v>
      </c>
      <c r="B198" s="79"/>
      <c r="C198" s="79"/>
      <c r="D198" s="79"/>
      <c r="E198" s="59"/>
    </row>
    <row r="199" s="50" customFormat="1" ht="8.1" customHeight="1" spans="1:5">
      <c r="A199" s="69"/>
      <c r="B199" s="70"/>
      <c r="C199" s="69"/>
      <c r="D199" s="70"/>
      <c r="E199" s="59"/>
    </row>
    <row r="200" s="50" customFormat="1" ht="21.95" customHeight="1" spans="1:5">
      <c r="A200" s="69" t="s">
        <v>320</v>
      </c>
      <c r="B200" s="70" t="s">
        <v>86</v>
      </c>
      <c r="C200" s="69" t="s">
        <v>321</v>
      </c>
      <c r="D200" s="80">
        <f>D194/D193</f>
        <v>0.00416666666666667</v>
      </c>
      <c r="E200" s="59"/>
    </row>
    <row r="201" s="50" customFormat="1" ht="21.95" customHeight="1" spans="1:5">
      <c r="A201" s="69" t="s">
        <v>322</v>
      </c>
      <c r="B201" s="70" t="s">
        <v>192</v>
      </c>
      <c r="C201" s="69" t="s">
        <v>323</v>
      </c>
      <c r="D201" s="81">
        <f>ROUND(D192*D200,2)</f>
        <v>0.13</v>
      </c>
      <c r="E201" s="59"/>
    </row>
    <row r="202" s="51" customFormat="1" ht="21.95" customHeight="1" spans="1:5">
      <c r="A202" s="82" t="s">
        <v>81</v>
      </c>
      <c r="B202" s="82"/>
      <c r="C202" s="82"/>
      <c r="D202" s="86">
        <f>SUM(D196+D201)</f>
        <v>1.29</v>
      </c>
      <c r="E202" s="84"/>
    </row>
    <row r="203" s="51" customFormat="1" ht="6" customHeight="1" spans="1:5">
      <c r="A203" s="85"/>
      <c r="B203" s="85"/>
      <c r="C203" s="85"/>
      <c r="D203" s="85"/>
      <c r="E203" s="84"/>
    </row>
    <row r="204" s="50" customFormat="1" ht="24.95" customHeight="1" spans="1:5">
      <c r="A204" s="67" t="s">
        <v>324</v>
      </c>
      <c r="B204" s="67"/>
      <c r="C204" s="67"/>
      <c r="D204" s="67"/>
      <c r="E204" s="59"/>
    </row>
    <row r="205" s="50" customFormat="1" ht="21.95" customHeight="1" spans="1:5">
      <c r="A205" s="68" t="s">
        <v>183</v>
      </c>
      <c r="B205" s="68"/>
      <c r="C205" s="68"/>
      <c r="D205" s="68"/>
      <c r="E205" s="59"/>
    </row>
    <row r="206" s="50" customFormat="1" ht="6" customHeight="1" spans="1:5">
      <c r="A206" s="69"/>
      <c r="B206" s="70"/>
      <c r="C206" s="69"/>
      <c r="D206" s="70"/>
      <c r="E206" s="59"/>
    </row>
    <row r="207" s="50" customFormat="1" ht="20.1" customHeight="1" spans="1:5">
      <c r="A207" s="69" t="s">
        <v>325</v>
      </c>
      <c r="B207" s="71" t="s">
        <v>73</v>
      </c>
      <c r="C207" s="69" t="s">
        <v>326</v>
      </c>
      <c r="D207" s="72">
        <v>48717.7</v>
      </c>
      <c r="E207" s="59"/>
    </row>
    <row r="208" s="50" customFormat="1" ht="20.1" customHeight="1" spans="1:5">
      <c r="A208" s="69" t="s">
        <v>327</v>
      </c>
      <c r="B208" s="71" t="s">
        <v>76</v>
      </c>
      <c r="C208" s="69" t="s">
        <v>328</v>
      </c>
      <c r="D208" s="73">
        <f>12*10</f>
        <v>120</v>
      </c>
      <c r="E208" s="59"/>
    </row>
    <row r="209" s="50" customFormat="1" ht="20.1" customHeight="1" spans="1:5">
      <c r="A209" s="69" t="s">
        <v>329</v>
      </c>
      <c r="B209" s="74" t="s">
        <v>184</v>
      </c>
      <c r="C209" s="69" t="s">
        <v>330</v>
      </c>
      <c r="D209" s="75">
        <v>0.1</v>
      </c>
      <c r="E209" s="59"/>
    </row>
    <row r="210" s="50" customFormat="1" ht="20.1" customHeight="1" spans="1:5">
      <c r="A210" s="69" t="s">
        <v>331</v>
      </c>
      <c r="B210" s="71" t="s">
        <v>186</v>
      </c>
      <c r="C210" s="69" t="s">
        <v>332</v>
      </c>
      <c r="D210" s="76">
        <v>12</v>
      </c>
      <c r="E210" s="59"/>
    </row>
    <row r="211" s="50" customFormat="1" ht="20.1" customHeight="1" spans="1:5">
      <c r="A211" s="77" t="s">
        <v>188</v>
      </c>
      <c r="B211" s="77"/>
      <c r="C211" s="77"/>
      <c r="D211" s="78">
        <f>ROUND((D207/D208)-((D207*D209)/D208),2)</f>
        <v>365.38</v>
      </c>
      <c r="E211" s="59"/>
    </row>
    <row r="212" s="50" customFormat="1" ht="6.95" customHeight="1" spans="1:5">
      <c r="A212" s="69"/>
      <c r="B212" s="70"/>
      <c r="C212" s="69"/>
      <c r="D212" s="70"/>
      <c r="E212" s="59"/>
    </row>
    <row r="213" s="50" customFormat="1" ht="21.95" customHeight="1" spans="1:5">
      <c r="A213" s="79" t="s">
        <v>84</v>
      </c>
      <c r="B213" s="79"/>
      <c r="C213" s="79"/>
      <c r="D213" s="79"/>
      <c r="E213" s="59"/>
    </row>
    <row r="214" s="50" customFormat="1" ht="8.1" customHeight="1" spans="1:5">
      <c r="A214" s="69"/>
      <c r="B214" s="70"/>
      <c r="C214" s="69"/>
      <c r="D214" s="70"/>
      <c r="E214" s="59"/>
    </row>
    <row r="215" s="50" customFormat="1" ht="21.95" customHeight="1" spans="1:5">
      <c r="A215" s="69" t="s">
        <v>333</v>
      </c>
      <c r="B215" s="70" t="s">
        <v>86</v>
      </c>
      <c r="C215" s="69" t="s">
        <v>334</v>
      </c>
      <c r="D215" s="80">
        <f>D209/D208</f>
        <v>0.000833333333333333</v>
      </c>
      <c r="E215" s="59"/>
    </row>
    <row r="216" s="50" customFormat="1" ht="21.95" customHeight="1" spans="1:5">
      <c r="A216" s="69" t="s">
        <v>335</v>
      </c>
      <c r="B216" s="70" t="s">
        <v>192</v>
      </c>
      <c r="C216" s="69" t="s">
        <v>336</v>
      </c>
      <c r="D216" s="81">
        <f>ROUND(D207*D215,2)</f>
        <v>40.6</v>
      </c>
      <c r="E216" s="59"/>
    </row>
    <row r="217" s="51" customFormat="1" ht="21.95" customHeight="1" spans="1:5">
      <c r="A217" s="82" t="s">
        <v>81</v>
      </c>
      <c r="B217" s="82"/>
      <c r="C217" s="82"/>
      <c r="D217" s="86">
        <f>SUM(D211+D216)</f>
        <v>405.98</v>
      </c>
      <c r="E217" s="84"/>
    </row>
    <row r="218" s="51" customFormat="1" ht="6" customHeight="1" spans="1:5">
      <c r="A218" s="85"/>
      <c r="B218" s="85"/>
      <c r="C218" s="85"/>
      <c r="D218" s="85"/>
      <c r="E218" s="84"/>
    </row>
    <row r="219" s="50" customFormat="1" ht="24.95" customHeight="1" spans="1:5">
      <c r="A219" s="67" t="s">
        <v>337</v>
      </c>
      <c r="B219" s="67"/>
      <c r="C219" s="67"/>
      <c r="D219" s="67"/>
      <c r="E219" s="59"/>
    </row>
    <row r="220" s="50" customFormat="1" ht="21.95" customHeight="1" spans="1:5">
      <c r="A220" s="68" t="s">
        <v>183</v>
      </c>
      <c r="B220" s="68"/>
      <c r="C220" s="68"/>
      <c r="D220" s="68"/>
      <c r="E220" s="59"/>
    </row>
    <row r="221" s="50" customFormat="1" ht="6" customHeight="1" spans="1:5">
      <c r="A221" s="69"/>
      <c r="B221" s="70"/>
      <c r="C221" s="69"/>
      <c r="D221" s="70"/>
      <c r="E221" s="59"/>
    </row>
    <row r="222" s="50" customFormat="1" ht="20.1" customHeight="1" spans="1:5">
      <c r="A222" s="69" t="s">
        <v>338</v>
      </c>
      <c r="B222" s="71" t="s">
        <v>73</v>
      </c>
      <c r="C222" s="69" t="s">
        <v>339</v>
      </c>
      <c r="D222" s="72">
        <v>60.75</v>
      </c>
      <c r="E222" s="59"/>
    </row>
    <row r="223" s="50" customFormat="1" ht="20.1" customHeight="1" spans="1:5">
      <c r="A223" s="69" t="s">
        <v>340</v>
      </c>
      <c r="B223" s="71" t="s">
        <v>76</v>
      </c>
      <c r="C223" s="69" t="s">
        <v>341</v>
      </c>
      <c r="D223" s="73">
        <f>12*2</f>
        <v>24</v>
      </c>
      <c r="E223" s="59"/>
    </row>
    <row r="224" s="50" customFormat="1" ht="20.1" customHeight="1" spans="1:5">
      <c r="A224" s="69" t="s">
        <v>342</v>
      </c>
      <c r="B224" s="74" t="s">
        <v>184</v>
      </c>
      <c r="C224" s="69" t="s">
        <v>343</v>
      </c>
      <c r="D224" s="75">
        <v>0.1</v>
      </c>
      <c r="E224" s="59"/>
    </row>
    <row r="225" s="50" customFormat="1" ht="20.1" customHeight="1" spans="1:5">
      <c r="A225" s="69" t="s">
        <v>344</v>
      </c>
      <c r="B225" s="71" t="s">
        <v>186</v>
      </c>
      <c r="C225" s="69" t="s">
        <v>345</v>
      </c>
      <c r="D225" s="76">
        <v>12</v>
      </c>
      <c r="E225" s="59"/>
    </row>
    <row r="226" s="50" customFormat="1" ht="20.1" customHeight="1" spans="1:5">
      <c r="A226" s="77" t="s">
        <v>188</v>
      </c>
      <c r="B226" s="77"/>
      <c r="C226" s="77"/>
      <c r="D226" s="78">
        <f>ROUND((D222/D223)-((D222*D224)/D223),2)</f>
        <v>2.28</v>
      </c>
      <c r="E226" s="59"/>
    </row>
    <row r="227" s="50" customFormat="1" ht="6.95" customHeight="1" spans="1:5">
      <c r="A227" s="69"/>
      <c r="B227" s="70"/>
      <c r="C227" s="69"/>
      <c r="D227" s="70"/>
      <c r="E227" s="59"/>
    </row>
    <row r="228" s="50" customFormat="1" ht="21.95" customHeight="1" spans="1:5">
      <c r="A228" s="79" t="s">
        <v>84</v>
      </c>
      <c r="B228" s="79"/>
      <c r="C228" s="79"/>
      <c r="D228" s="79"/>
      <c r="E228" s="59"/>
    </row>
    <row r="229" s="50" customFormat="1" ht="8.1" customHeight="1" spans="1:5">
      <c r="A229" s="69"/>
      <c r="B229" s="70"/>
      <c r="C229" s="69"/>
      <c r="D229" s="70"/>
      <c r="E229" s="59"/>
    </row>
    <row r="230" s="50" customFormat="1" ht="21.95" customHeight="1" spans="1:5">
      <c r="A230" s="69" t="s">
        <v>346</v>
      </c>
      <c r="B230" s="70" t="s">
        <v>86</v>
      </c>
      <c r="C230" s="69" t="s">
        <v>347</v>
      </c>
      <c r="D230" s="80">
        <f>D224/D223</f>
        <v>0.00416666666666667</v>
      </c>
      <c r="E230" s="59"/>
    </row>
    <row r="231" s="50" customFormat="1" ht="21.95" customHeight="1" spans="1:5">
      <c r="A231" s="69" t="s">
        <v>348</v>
      </c>
      <c r="B231" s="70" t="s">
        <v>192</v>
      </c>
      <c r="C231" s="69" t="s">
        <v>349</v>
      </c>
      <c r="D231" s="81">
        <f>ROUND(D222*D230,2)</f>
        <v>0.25</v>
      </c>
      <c r="E231" s="59"/>
    </row>
    <row r="232" s="51" customFormat="1" ht="21.95" customHeight="1" spans="1:5">
      <c r="A232" s="82" t="s">
        <v>81</v>
      </c>
      <c r="B232" s="82"/>
      <c r="C232" s="82"/>
      <c r="D232" s="86">
        <f>SUM(D226+D231)</f>
        <v>2.53</v>
      </c>
      <c r="E232" s="84"/>
    </row>
    <row r="233" s="51" customFormat="1" ht="6" customHeight="1" spans="1:5">
      <c r="A233" s="85"/>
      <c r="B233" s="85"/>
      <c r="C233" s="85"/>
      <c r="D233" s="85"/>
      <c r="E233" s="84"/>
    </row>
    <row r="234" s="50" customFormat="1" ht="24.95" customHeight="1" spans="1:13">
      <c r="A234" s="88" t="s">
        <v>163</v>
      </c>
      <c r="B234" s="89" t="s">
        <v>168</v>
      </c>
      <c r="C234" s="90" t="s">
        <v>48</v>
      </c>
      <c r="D234" s="91">
        <f>ROUND(SUM(D22+D37+D52+D67+D82+D97+D112+D127+D142+D157+D172+D187+D202+D217+D232),2)</f>
        <v>1937.31</v>
      </c>
      <c r="E234" s="92"/>
      <c r="F234" s="93"/>
      <c r="G234" s="94"/>
      <c r="H234" s="59"/>
      <c r="I234" s="59"/>
      <c r="J234" s="59"/>
      <c r="K234" s="59"/>
      <c r="L234" s="59"/>
      <c r="M234" s="59"/>
    </row>
    <row r="235" s="50" customFormat="1" ht="9" customHeight="1" spans="1:13">
      <c r="A235" s="69"/>
      <c r="B235" s="71"/>
      <c r="C235" s="69"/>
      <c r="D235" s="95"/>
      <c r="E235" s="96"/>
      <c r="F235" s="59"/>
      <c r="G235" s="59"/>
      <c r="H235" s="59"/>
      <c r="I235" s="59"/>
      <c r="J235" s="59"/>
      <c r="K235" s="59"/>
      <c r="L235" s="59"/>
      <c r="M235" s="59"/>
    </row>
    <row r="236" s="50" customFormat="1" ht="24.95" customHeight="1" spans="1:13">
      <c r="A236" s="88" t="s">
        <v>237</v>
      </c>
      <c r="B236" s="89" t="s">
        <v>170</v>
      </c>
      <c r="C236" s="90" t="s">
        <v>48</v>
      </c>
      <c r="D236" s="91">
        <f>ROUND(D234*1.2302,2)</f>
        <v>2383.28</v>
      </c>
      <c r="E236" s="97"/>
      <c r="F236" s="59"/>
      <c r="G236" s="98"/>
      <c r="H236" s="59"/>
      <c r="I236" s="59"/>
      <c r="J236" s="59"/>
      <c r="K236" s="59"/>
      <c r="L236" s="59"/>
      <c r="M236" s="59"/>
    </row>
    <row r="237" s="50" customFormat="1" ht="9.95" customHeight="1" spans="1:13">
      <c r="A237" s="99"/>
      <c r="B237" s="100"/>
      <c r="C237" s="99"/>
      <c r="D237" s="101"/>
      <c r="E237" s="102"/>
      <c r="F237" s="59"/>
      <c r="G237" s="103"/>
      <c r="H237" s="59"/>
      <c r="I237" s="59"/>
      <c r="J237" s="59"/>
      <c r="K237" s="59"/>
      <c r="L237" s="59"/>
      <c r="M237" s="59"/>
    </row>
    <row r="238" s="50" customFormat="1" ht="30.95" customHeight="1" spans="1:13">
      <c r="A238" s="104" t="s">
        <v>171</v>
      </c>
      <c r="B238" s="104"/>
      <c r="C238" s="104"/>
      <c r="D238" s="104"/>
      <c r="E238" s="105"/>
      <c r="F238" s="59"/>
      <c r="G238" s="59"/>
      <c r="H238" s="59"/>
      <c r="I238" s="59"/>
      <c r="J238" s="59"/>
      <c r="K238" s="59"/>
      <c r="L238" s="59"/>
      <c r="M238" s="59"/>
    </row>
    <row r="239" s="50" customFormat="1" spans="4:5">
      <c r="D239" s="106"/>
      <c r="E239" s="59"/>
    </row>
    <row r="240" s="50" customFormat="1" spans="4:5">
      <c r="D240" s="107"/>
      <c r="E240" s="59"/>
    </row>
    <row r="241" s="50" customFormat="1" spans="4:5">
      <c r="D241" s="107"/>
      <c r="E241" s="59"/>
    </row>
  </sheetData>
  <mergeCells count="69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6:C16"/>
    <mergeCell ref="A22:C22"/>
    <mergeCell ref="A24:D24"/>
    <mergeCell ref="A25:D25"/>
    <mergeCell ref="A31:C31"/>
    <mergeCell ref="A37:C37"/>
    <mergeCell ref="A39:D39"/>
    <mergeCell ref="A40:D40"/>
    <mergeCell ref="A46:C46"/>
    <mergeCell ref="A52:C52"/>
    <mergeCell ref="A54:D54"/>
    <mergeCell ref="A55:D55"/>
    <mergeCell ref="A61:C61"/>
    <mergeCell ref="A67:C67"/>
    <mergeCell ref="A69:D69"/>
    <mergeCell ref="A70:D70"/>
    <mergeCell ref="A76:C76"/>
    <mergeCell ref="A82:C82"/>
    <mergeCell ref="A84:D84"/>
    <mergeCell ref="A85:D85"/>
    <mergeCell ref="A91:C91"/>
    <mergeCell ref="A97:C97"/>
    <mergeCell ref="A99:D99"/>
    <mergeCell ref="A100:D100"/>
    <mergeCell ref="A106:C106"/>
    <mergeCell ref="A112:C112"/>
    <mergeCell ref="A114:D114"/>
    <mergeCell ref="A115:D115"/>
    <mergeCell ref="A121:C121"/>
    <mergeCell ref="A127:C127"/>
    <mergeCell ref="A129:D129"/>
    <mergeCell ref="A130:D130"/>
    <mergeCell ref="A136:C136"/>
    <mergeCell ref="A142:C142"/>
    <mergeCell ref="A144:D144"/>
    <mergeCell ref="A145:D145"/>
    <mergeCell ref="A151:C151"/>
    <mergeCell ref="A157:C157"/>
    <mergeCell ref="A159:D159"/>
    <mergeCell ref="A160:D160"/>
    <mergeCell ref="A166:C166"/>
    <mergeCell ref="A172:C172"/>
    <mergeCell ref="A174:D174"/>
    <mergeCell ref="A175:D175"/>
    <mergeCell ref="A181:C181"/>
    <mergeCell ref="A187:C187"/>
    <mergeCell ref="A189:D189"/>
    <mergeCell ref="A190:D190"/>
    <mergeCell ref="A196:C196"/>
    <mergeCell ref="A202:C202"/>
    <mergeCell ref="A204:D204"/>
    <mergeCell ref="A205:D205"/>
    <mergeCell ref="A211:C211"/>
    <mergeCell ref="A217:C217"/>
    <mergeCell ref="A219:D219"/>
    <mergeCell ref="A220:D220"/>
    <mergeCell ref="A226:C226"/>
    <mergeCell ref="A232:C232"/>
    <mergeCell ref="A238:D238"/>
  </mergeCells>
  <printOptions horizontalCentered="1"/>
  <pageMargins left="0.251388888888889" right="0.251388888888889" top="0.751388888888889" bottom="0.751388888888889" header="0.298611111111111" footer="0.298611111111111"/>
  <pageSetup paperSize="9" scale="85" orientation="portrait"/>
  <headerFooter/>
  <rowBreaks count="7" manualBreakCount="7">
    <brk id="37" max="3" man="1"/>
    <brk id="67" max="3" man="1"/>
    <brk id="97" max="3" man="1"/>
    <brk id="127" max="3" man="1"/>
    <brk id="157" max="3" man="1"/>
    <brk id="187" max="3" man="1"/>
    <brk id="217" max="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view="pageBreakPreview" zoomScaleNormal="61" workbookViewId="0">
      <selection activeCell="A1" sqref="A1:D1"/>
    </sheetView>
  </sheetViews>
  <sheetFormatPr defaultColWidth="9" defaultRowHeight="12.75" outlineLevelCol="3"/>
  <cols>
    <col min="1" max="1" width="42.4285714285714" style="1" customWidth="1"/>
    <col min="2" max="2" width="16.2857142857143" style="1" customWidth="1"/>
    <col min="3" max="3" width="57.4285714285714" style="1" customWidth="1"/>
    <col min="4" max="4" width="18.1428571428571" style="1" customWidth="1"/>
    <col min="5" max="16384" width="9" style="1"/>
  </cols>
  <sheetData>
    <row r="1" ht="87" customHeight="1" spans="1:4">
      <c r="A1" s="20" t="s">
        <v>0</v>
      </c>
      <c r="B1" s="21"/>
      <c r="C1" s="21"/>
      <c r="D1" s="22"/>
    </row>
    <row r="2" ht="29.1" customHeight="1" spans="1:4">
      <c r="A2" s="23"/>
      <c r="B2" s="24"/>
      <c r="C2" s="24"/>
      <c r="D2" s="25"/>
    </row>
    <row r="3" ht="30" customHeight="1" spans="1:4">
      <c r="A3" s="26" t="s">
        <v>350</v>
      </c>
      <c r="B3" s="26"/>
      <c r="C3" s="26"/>
      <c r="D3" s="26"/>
    </row>
    <row r="4" ht="87.75" customHeight="1" spans="1:4">
      <c r="A4" s="9" t="s">
        <v>351</v>
      </c>
      <c r="B4" s="27" t="s">
        <v>352</v>
      </c>
      <c r="C4" s="28"/>
      <c r="D4" s="29"/>
    </row>
    <row r="5" ht="43.5" customHeight="1" spans="1:4">
      <c r="A5" s="9" t="s">
        <v>42</v>
      </c>
      <c r="B5" s="10" t="s">
        <v>17</v>
      </c>
      <c r="C5" s="10"/>
      <c r="D5" s="10"/>
    </row>
    <row r="6" ht="36.95" customHeight="1" spans="1:4">
      <c r="A6" s="30" t="s">
        <v>353</v>
      </c>
      <c r="B6" s="30"/>
      <c r="C6" s="30"/>
      <c r="D6" s="30"/>
    </row>
    <row r="7" ht="43.5" customHeight="1" spans="1:4">
      <c r="A7" s="31" t="s">
        <v>354</v>
      </c>
      <c r="B7" s="31"/>
      <c r="C7" s="31" t="s">
        <v>355</v>
      </c>
      <c r="D7" s="31"/>
    </row>
    <row r="8" ht="38.1" customHeight="1" spans="1:4">
      <c r="A8" s="31" t="s">
        <v>356</v>
      </c>
      <c r="B8" s="32" t="s">
        <v>357</v>
      </c>
      <c r="C8" s="33">
        <v>0.015</v>
      </c>
      <c r="D8" s="33"/>
    </row>
    <row r="9" ht="38.1" customHeight="1" spans="1:4">
      <c r="A9" s="31" t="s">
        <v>358</v>
      </c>
      <c r="B9" s="32" t="s">
        <v>359</v>
      </c>
      <c r="C9" s="33">
        <v>0.0086</v>
      </c>
      <c r="D9" s="33"/>
    </row>
    <row r="10" ht="38.1" customHeight="1" spans="1:4">
      <c r="A10" s="31" t="s">
        <v>360</v>
      </c>
      <c r="B10" s="32" t="s">
        <v>361</v>
      </c>
      <c r="C10" s="33">
        <v>0.0085</v>
      </c>
      <c r="D10" s="33"/>
    </row>
    <row r="11" ht="38.1" customHeight="1" spans="1:4">
      <c r="A11" s="31" t="s">
        <v>362</v>
      </c>
      <c r="B11" s="32" t="s">
        <v>363</v>
      </c>
      <c r="C11" s="34"/>
      <c r="D11" s="33"/>
    </row>
    <row r="12" ht="38.1" customHeight="1" spans="1:4">
      <c r="A12" s="31" t="s">
        <v>364</v>
      </c>
      <c r="B12" s="32" t="s">
        <v>365</v>
      </c>
      <c r="C12" s="33">
        <v>0.035</v>
      </c>
      <c r="D12" s="33"/>
    </row>
    <row r="13" ht="38.1" customHeight="1" spans="1:4">
      <c r="A13" s="31" t="s">
        <v>366</v>
      </c>
      <c r="B13" s="32" t="s">
        <v>367</v>
      </c>
      <c r="C13" s="33">
        <v>0.0865</v>
      </c>
      <c r="D13" s="33"/>
    </row>
    <row r="14" ht="38.1" customHeight="1" spans="1:4">
      <c r="A14" s="35" t="s">
        <v>368</v>
      </c>
      <c r="B14" s="32"/>
      <c r="C14" s="33">
        <v>0.045</v>
      </c>
      <c r="D14" s="33"/>
    </row>
    <row r="15" ht="43.5" customHeight="1" spans="1:4">
      <c r="A15" s="36" t="s">
        <v>54</v>
      </c>
      <c r="B15" s="36"/>
      <c r="C15" s="37">
        <f>((((1+(C8+C9))*(1+C10)*(1+C12))/(1-(C13+C14)))-1)*100</f>
        <v>23.0202787564767</v>
      </c>
      <c r="D15" s="37"/>
    </row>
    <row r="16" ht="45" customHeight="1" spans="1:4">
      <c r="A16" s="38" t="s">
        <v>369</v>
      </c>
      <c r="B16" s="39"/>
      <c r="C16" s="39"/>
      <c r="D16" s="40"/>
    </row>
    <row r="17" ht="15.75" spans="1:4">
      <c r="A17" s="41"/>
      <c r="B17" s="42"/>
      <c r="C17" s="42"/>
      <c r="D17" s="43"/>
    </row>
    <row r="18" ht="15.75" spans="1:4">
      <c r="A18" s="41"/>
      <c r="B18" s="42"/>
      <c r="C18" s="42"/>
      <c r="D18" s="43"/>
    </row>
    <row r="19" ht="15.75" spans="1:4">
      <c r="A19" s="44"/>
      <c r="B19" s="45"/>
      <c r="C19" s="46"/>
      <c r="D19" s="47"/>
    </row>
    <row r="20" ht="15.75" spans="2:2">
      <c r="B20" s="48"/>
    </row>
    <row r="21" ht="15.75" spans="2:2">
      <c r="B21" s="49"/>
    </row>
    <row r="22" ht="15.75" spans="2:2">
      <c r="B22" s="48"/>
    </row>
    <row r="23" ht="15.75" spans="2:2">
      <c r="B23" s="48"/>
    </row>
    <row r="24" ht="15.75" spans="2:2">
      <c r="B24" s="49"/>
    </row>
  </sheetData>
  <mergeCells count="18">
    <mergeCell ref="A1:D1"/>
    <mergeCell ref="A2:D2"/>
    <mergeCell ref="A3:D3"/>
    <mergeCell ref="B4:D4"/>
    <mergeCell ref="B5:D5"/>
    <mergeCell ref="A6:D6"/>
    <mergeCell ref="A7:B7"/>
    <mergeCell ref="C7:D7"/>
    <mergeCell ref="C8:D8"/>
    <mergeCell ref="C9:D9"/>
    <mergeCell ref="C12:D12"/>
    <mergeCell ref="C13:D13"/>
    <mergeCell ref="C14:D14"/>
    <mergeCell ref="A15:B15"/>
    <mergeCell ref="C15:D15"/>
    <mergeCell ref="A16:D16"/>
    <mergeCell ref="B13:B14"/>
    <mergeCell ref="C10:D11"/>
  </mergeCells>
  <printOptions horizontalCentered="1"/>
  <pageMargins left="0.251388888888889" right="0.251388888888889" top="0.751388888888889" bottom="0.751388888888889" header="0.298611111111111" footer="0.298611111111111"/>
  <pageSetup paperSize="9" scale="71" orientation="portrait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view="pageBreakPreview" zoomScale="110" zoomScaleNormal="100" workbookViewId="0">
      <selection activeCell="J1" sqref="J1"/>
    </sheetView>
  </sheetViews>
  <sheetFormatPr defaultColWidth="9" defaultRowHeight="15" outlineLevelCol="7"/>
  <cols>
    <col min="1" max="8" width="13.7142857142857" style="3" customWidth="1"/>
    <col min="9" max="16384" width="9" style="3"/>
  </cols>
  <sheetData>
    <row r="1" s="1" customFormat="1" ht="104.1" customHeight="1" spans="1:8">
      <c r="A1" s="4" t="s">
        <v>0</v>
      </c>
      <c r="B1" s="5"/>
      <c r="C1" s="5"/>
      <c r="D1" s="5"/>
      <c r="E1" s="5"/>
      <c r="F1" s="5"/>
      <c r="G1" s="5"/>
      <c r="H1" s="6"/>
    </row>
    <row r="2" s="1" customFormat="1" ht="102" customHeight="1" spans="1:8">
      <c r="A2" s="7" t="s">
        <v>351</v>
      </c>
      <c r="B2" s="8" t="s">
        <v>370</v>
      </c>
      <c r="C2" s="8"/>
      <c r="D2" s="8"/>
      <c r="E2" s="8"/>
      <c r="F2" s="8"/>
      <c r="G2" s="8"/>
      <c r="H2" s="8"/>
    </row>
    <row r="3" s="1" customFormat="1" ht="24" customHeight="1" spans="1:8">
      <c r="A3" s="9" t="s">
        <v>42</v>
      </c>
      <c r="B3" s="10" t="s">
        <v>17</v>
      </c>
      <c r="C3" s="10"/>
      <c r="D3" s="10"/>
      <c r="E3" s="10"/>
      <c r="F3" s="10"/>
      <c r="G3" s="10"/>
      <c r="H3" s="10"/>
    </row>
    <row r="4" s="1" customFormat="1" ht="27.95" customHeight="1" spans="1:8">
      <c r="A4" s="11" t="s">
        <v>371</v>
      </c>
      <c r="B4" s="11"/>
      <c r="C4" s="11"/>
      <c r="D4" s="11"/>
      <c r="E4" s="11"/>
      <c r="F4" s="11"/>
      <c r="G4" s="11"/>
      <c r="H4" s="11"/>
    </row>
    <row r="5" s="2" customFormat="1" ht="39" customHeight="1" spans="1:8">
      <c r="A5" s="12" t="s">
        <v>372</v>
      </c>
      <c r="B5" s="12"/>
      <c r="C5" s="12"/>
      <c r="D5" s="12"/>
      <c r="E5" s="12"/>
      <c r="F5" s="12"/>
      <c r="G5" s="12"/>
      <c r="H5" s="12"/>
    </row>
    <row r="6" s="2" customFormat="1" ht="21" customHeight="1" spans="1:8">
      <c r="A6" s="13" t="s">
        <v>373</v>
      </c>
      <c r="B6" s="13"/>
      <c r="C6" s="13"/>
      <c r="D6" s="13"/>
      <c r="E6" s="13" t="s">
        <v>374</v>
      </c>
      <c r="F6" s="13"/>
      <c r="G6" s="13"/>
      <c r="H6" s="13"/>
    </row>
    <row r="7" s="2" customFormat="1" ht="21" customHeight="1" spans="1:8">
      <c r="A7" s="13" t="s">
        <v>375</v>
      </c>
      <c r="B7" s="13"/>
      <c r="C7" s="13"/>
      <c r="D7" s="13"/>
      <c r="E7" s="13"/>
      <c r="F7" s="13"/>
      <c r="G7" s="13"/>
      <c r="H7" s="13"/>
    </row>
    <row r="8" s="2" customFormat="1" ht="21" customHeight="1" spans="1:8">
      <c r="A8" s="13" t="s">
        <v>376</v>
      </c>
      <c r="B8" s="13"/>
      <c r="C8" s="13"/>
      <c r="D8" s="13"/>
      <c r="E8" s="13" t="s">
        <v>377</v>
      </c>
      <c r="F8" s="13"/>
      <c r="G8" s="13"/>
      <c r="H8" s="13"/>
    </row>
    <row r="9" s="2" customFormat="1" ht="21" customHeight="1" spans="1:8">
      <c r="A9" s="13" t="s">
        <v>378</v>
      </c>
      <c r="B9" s="13"/>
      <c r="C9" s="13"/>
      <c r="D9" s="14"/>
      <c r="E9" s="14"/>
      <c r="F9" s="14"/>
      <c r="G9" s="14"/>
      <c r="H9" s="14"/>
    </row>
    <row r="10" s="2" customFormat="1" ht="21" customHeight="1" spans="1:8">
      <c r="A10" s="13" t="s">
        <v>379</v>
      </c>
      <c r="B10" s="13"/>
      <c r="C10" s="13"/>
      <c r="D10" s="14"/>
      <c r="E10" s="14"/>
      <c r="F10" s="14"/>
      <c r="G10" s="14"/>
      <c r="H10" s="14"/>
    </row>
    <row r="11" s="2" customFormat="1" ht="21" customHeight="1" spans="1:8">
      <c r="A11" s="13" t="s">
        <v>380</v>
      </c>
      <c r="B11" s="13"/>
      <c r="C11" s="13"/>
      <c r="D11" s="14"/>
      <c r="E11" s="14"/>
      <c r="F11" s="14"/>
      <c r="G11" s="14"/>
      <c r="H11" s="14"/>
    </row>
    <row r="12" s="2" customFormat="1" ht="21" customHeight="1" spans="1:8">
      <c r="A12" s="13" t="s">
        <v>381</v>
      </c>
      <c r="B12" s="13"/>
      <c r="C12" s="13"/>
      <c r="D12" s="14"/>
      <c r="E12" s="14"/>
      <c r="F12" s="14"/>
      <c r="G12" s="14"/>
      <c r="H12" s="14"/>
    </row>
    <row r="13" s="2" customFormat="1" ht="21" customHeight="1" spans="1:8">
      <c r="A13" s="13" t="s">
        <v>382</v>
      </c>
      <c r="B13" s="13"/>
      <c r="C13" s="13"/>
      <c r="D13" s="14"/>
      <c r="E13" s="14"/>
      <c r="F13" s="14"/>
      <c r="G13" s="14"/>
      <c r="H13" s="14"/>
    </row>
    <row r="14" s="2" customFormat="1" ht="21" customHeight="1" spans="1:8">
      <c r="A14" s="13" t="s">
        <v>383</v>
      </c>
      <c r="B14" s="13"/>
      <c r="C14" s="13"/>
      <c r="D14" s="14"/>
      <c r="E14" s="14"/>
      <c r="F14" s="14"/>
      <c r="G14" s="14"/>
      <c r="H14" s="14"/>
    </row>
    <row r="15" s="2" customFormat="1" ht="21" customHeight="1" spans="1:8">
      <c r="A15" s="13" t="s">
        <v>384</v>
      </c>
      <c r="B15" s="13"/>
      <c r="C15" s="13"/>
      <c r="D15" s="14"/>
      <c r="E15" s="14"/>
      <c r="F15" s="14"/>
      <c r="G15" s="14"/>
      <c r="H15" s="14"/>
    </row>
    <row r="16" s="2" customFormat="1" ht="21" customHeight="1" spans="1:8">
      <c r="A16" s="13" t="s">
        <v>385</v>
      </c>
      <c r="B16" s="13"/>
      <c r="C16" s="13"/>
      <c r="D16" s="14"/>
      <c r="E16" s="14"/>
      <c r="F16" s="14"/>
      <c r="G16" s="14"/>
      <c r="H16" s="14"/>
    </row>
    <row r="17" s="2" customFormat="1" ht="21" customHeight="1" spans="1:8">
      <c r="A17" s="13" t="s">
        <v>386</v>
      </c>
      <c r="B17" s="13"/>
      <c r="C17" s="13"/>
      <c r="D17" s="14"/>
      <c r="E17" s="14"/>
      <c r="F17" s="14"/>
      <c r="G17" s="14"/>
      <c r="H17" s="14"/>
    </row>
    <row r="18" s="2" customFormat="1" ht="60" customHeight="1" spans="1:8">
      <c r="A18" s="15" t="s">
        <v>387</v>
      </c>
      <c r="B18" s="15"/>
      <c r="C18" s="15"/>
      <c r="D18" s="15"/>
      <c r="E18" s="15"/>
      <c r="F18" s="15"/>
      <c r="G18" s="15"/>
      <c r="H18" s="15"/>
    </row>
    <row r="19" s="2" customFormat="1" ht="62.1" customHeight="1" spans="1:8">
      <c r="A19" s="15" t="s">
        <v>388</v>
      </c>
      <c r="B19" s="15"/>
      <c r="C19" s="15"/>
      <c r="D19" s="15"/>
      <c r="E19" s="15"/>
      <c r="F19" s="15"/>
      <c r="G19" s="15"/>
      <c r="H19" s="15"/>
    </row>
    <row r="20" s="2" customFormat="1" ht="20.1" customHeight="1" spans="1:8">
      <c r="A20" s="13" t="s">
        <v>389</v>
      </c>
      <c r="B20" s="13"/>
      <c r="C20" s="13"/>
      <c r="D20" s="13"/>
      <c r="E20" s="13"/>
      <c r="F20" s="13"/>
      <c r="G20" s="13"/>
      <c r="H20" s="13"/>
    </row>
    <row r="21" s="2" customFormat="1" ht="20.1" customHeight="1" spans="1:8">
      <c r="A21" s="16" t="s">
        <v>390</v>
      </c>
      <c r="B21" s="16"/>
      <c r="C21" s="16"/>
      <c r="D21" s="16"/>
      <c r="E21" s="16"/>
      <c r="F21" s="16"/>
      <c r="G21" s="16"/>
      <c r="H21" s="16"/>
    </row>
    <row r="22" s="2" customFormat="1" ht="24.95" customHeight="1" spans="1:8">
      <c r="A22" s="16" t="s">
        <v>391</v>
      </c>
      <c r="B22" s="16"/>
      <c r="C22" s="16"/>
      <c r="D22" s="16"/>
      <c r="E22" s="16"/>
      <c r="F22" s="16"/>
      <c r="G22" s="16"/>
      <c r="H22" s="16"/>
    </row>
    <row r="23" s="2" customFormat="1" ht="29.1" customHeight="1" spans="1:8">
      <c r="A23" s="17" t="s">
        <v>392</v>
      </c>
      <c r="B23" s="17"/>
      <c r="C23" s="17"/>
      <c r="D23" s="17"/>
      <c r="E23" s="17" t="s">
        <v>392</v>
      </c>
      <c r="F23" s="17"/>
      <c r="G23" s="17"/>
      <c r="H23" s="17"/>
    </row>
    <row r="24" s="2" customFormat="1" ht="15.95" customHeight="1" spans="1:8">
      <c r="A24" s="18" t="s">
        <v>393</v>
      </c>
      <c r="B24" s="18"/>
      <c r="C24" s="18"/>
      <c r="D24" s="18"/>
      <c r="E24" s="18" t="s">
        <v>394</v>
      </c>
      <c r="F24" s="18"/>
      <c r="G24" s="18"/>
      <c r="H24" s="18"/>
    </row>
    <row r="25" s="2" customFormat="1" ht="30" customHeight="1" spans="1:8">
      <c r="A25" s="19"/>
      <c r="B25" s="19"/>
      <c r="C25" s="19"/>
      <c r="D25" s="19"/>
      <c r="E25" s="19"/>
      <c r="F25" s="19"/>
      <c r="G25" s="19"/>
      <c r="H25" s="19"/>
    </row>
    <row r="26" s="2" customFormat="1" ht="30" customHeight="1" spans="1:8">
      <c r="A26" s="19"/>
      <c r="B26" s="19"/>
      <c r="C26" s="19"/>
      <c r="D26" s="19"/>
      <c r="E26" s="19"/>
      <c r="F26" s="19"/>
      <c r="G26" s="19"/>
      <c r="H26" s="19"/>
    </row>
    <row r="27" s="2" customFormat="1" ht="30" customHeight="1" spans="1:8">
      <c r="A27" s="19"/>
      <c r="B27" s="19"/>
      <c r="C27" s="19"/>
      <c r="D27" s="19"/>
      <c r="E27" s="19"/>
      <c r="F27" s="19"/>
      <c r="G27" s="19"/>
      <c r="H27" s="19"/>
    </row>
  </sheetData>
  <mergeCells count="37">
    <mergeCell ref="A1:H1"/>
    <mergeCell ref="B2:H2"/>
    <mergeCell ref="B3:H3"/>
    <mergeCell ref="A4:H4"/>
    <mergeCell ref="A5:H5"/>
    <mergeCell ref="A6:D6"/>
    <mergeCell ref="E6:H6"/>
    <mergeCell ref="A7:H7"/>
    <mergeCell ref="A8:D8"/>
    <mergeCell ref="E8:H8"/>
    <mergeCell ref="A9:C9"/>
    <mergeCell ref="D9:H9"/>
    <mergeCell ref="A10:C10"/>
    <mergeCell ref="D10:H10"/>
    <mergeCell ref="A11:C11"/>
    <mergeCell ref="D11:H11"/>
    <mergeCell ref="A12:C12"/>
    <mergeCell ref="D12:H12"/>
    <mergeCell ref="A13:C13"/>
    <mergeCell ref="D13:H13"/>
    <mergeCell ref="A14:C14"/>
    <mergeCell ref="D14:H14"/>
    <mergeCell ref="A15:C15"/>
    <mergeCell ref="D15:H15"/>
    <mergeCell ref="A16:C16"/>
    <mergeCell ref="D16:H16"/>
    <mergeCell ref="A17:C17"/>
    <mergeCell ref="D17:H17"/>
    <mergeCell ref="A18:H18"/>
    <mergeCell ref="A19:H19"/>
    <mergeCell ref="A20:H20"/>
    <mergeCell ref="A21:H21"/>
    <mergeCell ref="A22:H22"/>
    <mergeCell ref="A23:D23"/>
    <mergeCell ref="E23:H23"/>
    <mergeCell ref="A24:D24"/>
    <mergeCell ref="E24:H24"/>
  </mergeCells>
  <printOptions horizontalCentered="1"/>
  <pageMargins left="0.251388888888889" right="0.251388888888889" top="0.751388888888889" bottom="0.751388888888889" header="0.298611111111111" footer="0.298611111111111"/>
  <pageSetup paperSize="9" scale="88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RESUMO</vt:lpstr>
      <vt:lpstr>CRONOGRAMA</vt:lpstr>
      <vt:lpstr>ORÇAMENTO BÁSICO</vt:lpstr>
      <vt:lpstr>AMBULANCIA_TIPO B</vt:lpstr>
      <vt:lpstr>EQUIP_TIPO B</vt:lpstr>
      <vt:lpstr>AMBULANCIA_TIPO D</vt:lpstr>
      <vt:lpstr>EQUIP_TIPO D</vt:lpstr>
      <vt:lpstr>BDI</vt:lpstr>
      <vt:lpstr>ANEXO IV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clouise</dc:creator>
  <cp:lastModifiedBy>rregis</cp:lastModifiedBy>
  <dcterms:created xsi:type="dcterms:W3CDTF">2021-05-10T17:19:00Z</dcterms:created>
  <dcterms:modified xsi:type="dcterms:W3CDTF">2023-03-22T13:34:07Z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2070-11.2.0.11513</vt:lpwstr>
  </property>
  <property fmtid="{D5CDD505-2E9C-101B-9397-08002B2CF9AE}" pid="3" name="ICV">
    <vt:lpwstr>8194B07CD06744E2A961955A6787C8F9</vt:lpwstr>
  </property>
</Properties>
</file>