
<file path=[Content_Types].xml><?xml version="1.0" encoding="utf-8"?>
<Types xmlns="http://schemas.openxmlformats.org/package/2006/content-types">
  <Default Extension="jpeg" ContentType="image/jpeg"/>
  <Default Extension="JPG" ContentType="image/.jp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EstaPastaDeTrabalho"/>
  <bookViews>
    <workbookView windowWidth="19815" windowHeight="7815" tabRatio="760" activeTab="3"/>
  </bookViews>
  <sheets>
    <sheet name="RESUMO " sheetId="17" r:id="rId1"/>
    <sheet name="Orçamento " sheetId="16" r:id="rId2"/>
    <sheet name="Memória de Cálculo " sheetId="14" r:id="rId3"/>
    <sheet name="CURVA ABC" sheetId="18" r:id="rId4"/>
    <sheet name="Cron. Físico Finan. " sheetId="3" r:id="rId5"/>
    <sheet name="COMPOSIÇÕES" sheetId="9" r:id="rId6"/>
    <sheet name="Cálculo do BDI" sheetId="6" r:id="rId7"/>
    <sheet name="COTAÇÃO" sheetId="12" r:id="rId8"/>
  </sheets>
  <externalReferences>
    <externalReference r:id="rId9"/>
  </externalReferences>
  <definedNames>
    <definedName name="_xlnm.Print_Area" localSheetId="5">COMPOSIÇÕES!$A$1:$G$331</definedName>
    <definedName name="_xlnm.Print_Area" localSheetId="7">COTAÇÃO!$A$1:$H$9</definedName>
    <definedName name="_xlnm.Print_Area" localSheetId="4">'Cron. Físico Finan. '!$A$1:$L$23</definedName>
    <definedName name="_xlnm.Print_Area" localSheetId="1">'Orçamento '!$B$2:$J$72</definedName>
    <definedName name="_xlnm.Print_Area" localSheetId="0">'RESUMO '!$A$1:$H$33</definedName>
    <definedName name="_xlnm.Print_Titles" localSheetId="5">COMPOSIÇÕES!$1:$6</definedName>
    <definedName name="_xlnm.Print_Titles" localSheetId="1">'Orçamento '!$2:$9</definedName>
    <definedName name="_xlnm.Print_Titles" localSheetId="2">'Memória de Cálculo '!$1:$9</definedName>
    <definedName name="_xlnm.Print_Area" localSheetId="3">'CURVA ABC'!$B$2:$K$60</definedName>
    <definedName name="_xlnm.Print_Titles" localSheetId="3">'CURVA ABC'!$2:$9</definedName>
  </definedNames>
  <calcPr calcId="144525"/>
</workbook>
</file>

<file path=xl/sharedStrings.xml><?xml version="1.0" encoding="utf-8"?>
<sst xmlns="http://schemas.openxmlformats.org/spreadsheetml/2006/main" count="2212" uniqueCount="384">
  <si>
    <t>PREFEITURA MUNICIPAL DE CAMARAGIBE</t>
  </si>
  <si>
    <t>SECRETARIA DE INFRAESTRUTURA</t>
  </si>
  <si>
    <t>RESUMO</t>
  </si>
  <si>
    <t>OBJETO</t>
  </si>
  <si>
    <t>CONTRATAÇÃO DE EMPRESA DE ENGENHARIA PARA A EXECUÇÃO DAS OBRAS DE REFORMA DA COBERTA DO PRÉDIO DA PREFEITURA DO MUNICÍPIO DE CAMARAGIBE - PE.</t>
  </si>
  <si>
    <t>LOCAL</t>
  </si>
  <si>
    <t>Avenida Belmino Correia - Camaragibe – PE</t>
  </si>
  <si>
    <t>FONTE DE PRECOS</t>
  </si>
  <si>
    <t>Composições de Custo, Tabela SINAPI - PE JAN/2023 - Com Desoneração + (BDI 28,82%).</t>
  </si>
  <si>
    <t>ITEM</t>
  </si>
  <si>
    <t>CÓDIGO</t>
  </si>
  <si>
    <t>DISCRIMINAÇÃO</t>
  </si>
  <si>
    <t>UNID.</t>
  </si>
  <si>
    <t>QUANT.</t>
  </si>
  <si>
    <t>CUSTO UNITÁRIO SEM BDI</t>
  </si>
  <si>
    <t>CUSTO UNITÁRIO COM BDI</t>
  </si>
  <si>
    <t>TOTAL (R$)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</si>
  <si>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</si>
  <si>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</si>
  <si>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</si>
  <si>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</si>
  <si>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</si>
  <si>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</si>
  <si>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</si>
  <si>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</si>
  <si>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</si>
  <si>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</si>
  <si>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TOTAL</t>
  </si>
  <si>
    <t>Importa o presente orçamento em:</t>
  </si>
  <si>
    <t>Trezentos e cinquenta e cinco mil, cinquenta e oito reais e noventa e seis centavos.</t>
  </si>
  <si>
    <t>ORÇAMENTO BÁSICO</t>
  </si>
  <si>
    <t>OBJETO:</t>
  </si>
  <si>
    <t>BDI %</t>
  </si>
  <si>
    <t>LOCAL:</t>
  </si>
  <si>
    <t>TRIBUTAÇÃO:</t>
  </si>
  <si>
    <t>COM DESONERAÇÃO</t>
  </si>
  <si>
    <t>FONTE DE PRECOS:</t>
  </si>
  <si>
    <t>Composições de Custo, Tabela SINAPI-PE JAN/2023 - Com Desoneração + (BDI 28,82%).</t>
  </si>
  <si>
    <t>DATA BASE:</t>
  </si>
  <si>
    <t>TABELA DE REFERENCIA</t>
  </si>
  <si>
    <t>DESCRIÇÃO</t>
  </si>
  <si>
    <t>QUANTITATIVOS</t>
  </si>
  <si>
    <t>FINANCEIROS</t>
  </si>
  <si>
    <t>PREVISTO</t>
  </si>
  <si>
    <t>UNITÁRIO SEM BDI</t>
  </si>
  <si>
    <t>UNITÁRIO COM BDI</t>
  </si>
  <si>
    <t>PARCIAIS</t>
  </si>
  <si>
    <t>MEMÓRIA DE CÁLCULO EXPLICATIVO</t>
  </si>
  <si>
    <t>FONTE</t>
  </si>
  <si>
    <t>ESPECIFICAÇÕES</t>
  </si>
  <si>
    <t>UND</t>
  </si>
  <si>
    <t>COMPR</t>
  </si>
  <si>
    <t>LARG.</t>
  </si>
  <si>
    <t>ESPES. / ALTURA</t>
  </si>
  <si>
    <t>TAXA</t>
  </si>
  <si>
    <t>ADMINISTRAÇÃO DE OBRA</t>
  </si>
  <si>
    <t>1.1</t>
  </si>
  <si>
    <t>SINAPI -PE JAN/23</t>
  </si>
  <si>
    <t>ENGENHEIRO CIVIL DE OBRA JUNIOR COM ENCARGOS COMPLEMENTARES</t>
  </si>
  <si>
    <t>H</t>
  </si>
  <si>
    <t>x</t>
  </si>
  <si>
    <t>=</t>
  </si>
  <si>
    <t>SERVIÇOS PRELIMINARES</t>
  </si>
  <si>
    <t>2.1</t>
  </si>
  <si>
    <t>COMPOSIÇÃO</t>
  </si>
  <si>
    <t>PLACA DE OBRA DE OBRA</t>
  </si>
  <si>
    <t>M²</t>
  </si>
  <si>
    <t>REMOÇÃO E LIMPEZA</t>
  </si>
  <si>
    <t>3.1</t>
  </si>
  <si>
    <t>REMOÇÃO DE TUBULAÇÕES (TUBOS E CONEXÕES) DE ÁGUA FRIA, DE FORMA MANUAL, SEM REAPROVEITAMENTO. AF_12/2017</t>
  </si>
  <si>
    <t>M</t>
  </si>
  <si>
    <t>Reservatório Superior de 15.000 litros</t>
  </si>
  <si>
    <t>LADO CASA DE MÁQUINA (ÁGUA FRIA)</t>
  </si>
  <si>
    <t>LADO POÇO ILUMINAÇÃO (ÁGUA FRIA)</t>
  </si>
  <si>
    <t>LADO POÇO DE ILUMINAÇÃO (INCÊNDIO)</t>
  </si>
  <si>
    <t>LADO CASA DE MÁQUINA (INCÊNDIO)</t>
  </si>
  <si>
    <t>3.2</t>
  </si>
  <si>
    <t>LADO DA CLARA BOIA</t>
  </si>
  <si>
    <t>HALL 2º ANDAR - MEDIDO NO CAD</t>
  </si>
  <si>
    <t>SECAD - MEDIDO NO CAD</t>
  </si>
  <si>
    <t>SECAD - COPIADORA</t>
  </si>
  <si>
    <t>LADO DA CASA DE MÁQUINA 02</t>
  </si>
  <si>
    <t>3.3</t>
  </si>
  <si>
    <t>3.4</t>
  </si>
  <si>
    <t>M³</t>
  </si>
  <si>
    <t>Algeroz perpendicular ao maior comprimento  (LADO DA CASA DE MÁQUINA 02)</t>
  </si>
  <si>
    <t>Algeroz do Poco da Casa de Máquina 02</t>
  </si>
  <si>
    <t>Algeroz do Reservatório</t>
  </si>
  <si>
    <t>Algeroz perpendicular ao maior comprimento  (LADO DO POÇO DE ILUMINAÇÃO)</t>
  </si>
  <si>
    <t>Algeroz do Poço de Iluminação</t>
  </si>
  <si>
    <t>3.5</t>
  </si>
  <si>
    <t>REMOÇÃO DE PORTAS, DE FORMA MANUAL, SEM REAPROVEITAMENTO. AF_12/2017</t>
  </si>
  <si>
    <t>Porta de acesso à casa de máquinas</t>
  </si>
  <si>
    <t>Porta de acesso à coberta</t>
  </si>
  <si>
    <t>3.6</t>
  </si>
  <si>
    <t>REMOÇÃO DE TELHAS DE FIBROCIMENTO, METÁLICA E CERÂMICA, DE FORMA MECANIZADA, COM USO DE GUINDASTE, SEM REAPROVEITAMENTO. AF_12/2017</t>
  </si>
  <si>
    <t>TELHADO (LADO DO POÇO DE ILUMINAÇÃO) IN CAD</t>
  </si>
  <si>
    <t>TELHADO (LADOCADA DE MÁQUINA 15000 L) IN CAD</t>
  </si>
  <si>
    <t>TELHADO (LADO DA CASA DE MÁQUINA 02) IN CAD</t>
  </si>
  <si>
    <t>3.7</t>
  </si>
  <si>
    <t>3.8</t>
  </si>
  <si>
    <t>DEMOLIÇÃO DE LAJES, DE FORMA MANUAL, SEM REAPROVEITAMENTO. AF_12/2017</t>
  </si>
  <si>
    <t>M3</t>
  </si>
  <si>
    <t>RESERVATÓRIO  REPARO INCÊNDIO TUBOS DE 80 MM (15000 L)</t>
  </si>
  <si>
    <t>RESERVATÓRIO  REPARO HIDRICO TUBOS DE 60 MM (15000 L)</t>
  </si>
  <si>
    <t>RESERVATÓRIO  REPARO HIDRICO TUBOS DE 50 MM (15000 L)</t>
  </si>
  <si>
    <t>3.9</t>
  </si>
  <si>
    <t>Parte Interna</t>
  </si>
  <si>
    <t>3.10</t>
  </si>
  <si>
    <t>LIMPEZA DE SUPERFÍCIE COM JATO DE ALTA PRESSÃO. AF_04/2019</t>
  </si>
  <si>
    <t>Lado da Casa de Máquinas 02 (Limpeza da calha)</t>
  </si>
  <si>
    <t>Entrada para Casa de Máquinas 02</t>
  </si>
  <si>
    <t>4.10</t>
  </si>
  <si>
    <t>Bloco Casa de Máquinas 01 / Reservatório (Limpeza da calha)</t>
  </si>
  <si>
    <t>Lado do Poço de Iluminação (Limpeza da calha)</t>
  </si>
  <si>
    <t>Paredes Externas do Reservatório</t>
  </si>
  <si>
    <t>Paredes Externas da Casa de Máquina 02</t>
  </si>
  <si>
    <t>3.11</t>
  </si>
  <si>
    <t>CARGA, MANOBRA E DESCARGA</t>
  </si>
  <si>
    <t>Área</t>
  </si>
  <si>
    <t>Empolam.</t>
  </si>
  <si>
    <t>Espessura</t>
  </si>
  <si>
    <t>3.12</t>
  </si>
  <si>
    <t>TRANSPORTE COM CAMINHÃO BASCULANTE DE 14 M³, EM VIA URBANA PAVIMENTADA, DMT ATÉ 30 KM (UNIDADE: M3XKM). AF_07/2020</t>
  </si>
  <si>
    <t>M³xKM</t>
  </si>
  <si>
    <t>KM</t>
  </si>
  <si>
    <t>COBERTA/TELHADO</t>
  </si>
  <si>
    <t>4.1</t>
  </si>
  <si>
    <t>4.2</t>
  </si>
  <si>
    <t>TRAMA DE MADEIRA COMPOSTA POR TERÇAS PARA TELHADOS DE ATÉ 2 ÁGUAS PARA TELHA ONDULADA DE FIBROCIMENTO, METÁLICA, PLÁSTICA OU TERMOACÚSTICA, INCLUSO TRANSPORTE VERTICAL. AF_07/2019</t>
  </si>
  <si>
    <t>4.3</t>
  </si>
  <si>
    <t>COTAÇÃO</t>
  </si>
  <si>
    <t>Painel de Preços</t>
  </si>
  <si>
    <t>CONFECÇÃO E APLICAÇÃO DE CLARABÓIA REMOVÍVEL EM POLICARBONATO COM ESTRUTURA METÁLICA (METALON) CONFORME DESENHO ESQUEMÁTICO DO RELATÓRIO.</t>
  </si>
  <si>
    <t>POÇO DE ILUMINAÇÃO</t>
  </si>
  <si>
    <t>4.4</t>
  </si>
  <si>
    <t>4.5</t>
  </si>
  <si>
    <t>CUMEEIRA PARA TELHA DE FIBROCIMENTO ESTRUTURAL E = 6 MM, INCLUSO ACESSÓRIOS DE FIXAÇÃO E IÇAMENTO. AF_07/2019</t>
  </si>
  <si>
    <t>ACESSO A CASA DE MÁQUINAS 02</t>
  </si>
  <si>
    <t>4.6</t>
  </si>
  <si>
    <t>Calhas (Lado do Reservatório 15000 l)</t>
  </si>
  <si>
    <t>Calhas, complemento (Lado do Reservatório 15000 l)</t>
  </si>
  <si>
    <t>Calhas, complemento (Lado do Poço de Iluminação)</t>
  </si>
  <si>
    <t>Calhas, complemento (Lado dCasa de Máquina 02)</t>
  </si>
  <si>
    <t>4.7</t>
  </si>
  <si>
    <t>LASTRO DE CONCRETO MAGRO, APLICADO EM PISOS, LAJES SOBRE SOLO OU RADIERS, ESPESSURA DE 5 CM. AF_07/2016</t>
  </si>
  <si>
    <t>CALHAS (NÃO FOI POSSÍVEL QUANTIFICAR, LOGO SERÁ ADORADO UM PERCENTUAL EM CIMA DAS CALHAS EXISTENTES, ESSE ITEM SERÁ UTILIZADO PARA REGULARIZAR E CORRIGIR DEFEITOS NAS CALHAS PARA APLICAÇÃO DA IMPERMEABILIZAÇÃO)</t>
  </si>
  <si>
    <t>4.8</t>
  </si>
  <si>
    <t>RUFO EM CHAPA DE AÇO GALVANIZADO NÚMERO 24, CORTE DE 25 CM, INCLUSO TRANSPORTE VERTICAL. AF_07/2019</t>
  </si>
  <si>
    <t>CASA DE MÁQUINA 02</t>
  </si>
  <si>
    <t>IMPERMEABILIZAÇÃO</t>
  </si>
  <si>
    <t>5.1</t>
  </si>
  <si>
    <t>IMPERMEABILIZAÇÃO DE SUPERFÍCIE COM ARGAMASSA POLIMÉRICA / MEMBRANA ACRÍLICA, 4 DEMÃOS, REFORÇADA COM VÉU DE POLIÉSTER (MAV). AF_06/2018</t>
  </si>
  <si>
    <t xml:space="preserve"> </t>
  </si>
  <si>
    <t>Reservatório (15000l)</t>
  </si>
  <si>
    <t>Casas de Máquinas</t>
  </si>
  <si>
    <t>5.2</t>
  </si>
  <si>
    <t>DESCIDAS DE ÁGUA PLUVIAL</t>
  </si>
  <si>
    <t>REVESTIMENTO</t>
  </si>
  <si>
    <t>6.1</t>
  </si>
  <si>
    <t>CHAPISCO APLICADO EM ALVENARIAS E ESTRUTURAS DE CONCRETO INTERNAS, COM COLHER DE PEDREIRO. ARGAMASSA TRAÇO 1:3 COM PREPARO EM BETONEIRA 400 L. AF_10/20228</t>
  </si>
  <si>
    <t>6.2</t>
  </si>
  <si>
    <t>MASSA ÚNICA, PARA RECEBIMENTO DE PINTURA, EM ARGAMASSA TRAÇO 1:2:8, PREPARO MANUAL, APLICADA MANUALMENTE EM TETO, ESPESSURA DE 20MM, COM EXECUÇÃO DE TALISCAS. AF_03/2015</t>
  </si>
  <si>
    <t>ESQUADRIAS DE MADEIRA</t>
  </si>
  <si>
    <t>7.1</t>
  </si>
  <si>
    <t>PINTURA</t>
  </si>
  <si>
    <t>8.1</t>
  </si>
  <si>
    <t>APLICAÇÃO E LIXAMENTO DE MASSA LÁTEX EM TETO, DUAS DEMÃOS. AF_06/2014</t>
  </si>
  <si>
    <t>8.2</t>
  </si>
  <si>
    <t>8.3</t>
  </si>
  <si>
    <t>APLICAÇÃO MANUAL DE PINTURA COM TINTA LÁTEX ACRÍLICA EM PAREDES, DUAS DEMÃOS. AF_06/2014</t>
  </si>
  <si>
    <t>Poço de Ventilação</t>
  </si>
  <si>
    <t>8.4</t>
  </si>
  <si>
    <t>8.5</t>
  </si>
  <si>
    <t>INSTALAÇÕES PLUVIAIS</t>
  </si>
  <si>
    <t>9.1</t>
  </si>
  <si>
    <t>TUBO PVC, SÉRIE R, ÁGUA PLUVIAL, DN 100 MM, FORNECIDO E INSTALADO EM CONDUTORES VERTICAIS DE ÁGUAS PLUVIAIS. AF_06/20229</t>
  </si>
  <si>
    <t>TROCA DE TUBULAÇÕES DANIFICADAS</t>
  </si>
  <si>
    <t>9.2</t>
  </si>
  <si>
    <t>JOELHO 90 GRAUS, PVC, SERIE R, ÁGUA PLUVIAL, DN 100 MM, JUNTA ELÁSTICA, FORNECIDO E INSTALADO EM CONDUTORES VERTICAIS DE ÁGUAS PLUVIAIS. AF_06/2022</t>
  </si>
  <si>
    <t>INSTALAÇÕES HIDRÁULICAS</t>
  </si>
  <si>
    <t>10.1</t>
  </si>
  <si>
    <t>TUBO, PVC, SOLDÁVEL, DN 60MM, INSTALADO EM PRUMADA DE ÁGUA - FORNECIMENTO E INSTALAÇÃO. AF_06/2022</t>
  </si>
  <si>
    <t>10.2</t>
  </si>
  <si>
    <t>TUBO, PVC, SOLDÁVEL, DN 50MM, INSTALADO EM PRUMADA DE ÁGUA - FORNECIMENTO E INSTALAÇÃO. AF_06/2022</t>
  </si>
  <si>
    <t>10.3</t>
  </si>
  <si>
    <t>LUVA, PVC, SOLDÁVEL, DN 60MM, INSTALADO EM PRUMADA DE ÁGUA - FORNECIMENTO E INSTALAÇÃO. AF_06/2022</t>
  </si>
  <si>
    <t>10.4</t>
  </si>
  <si>
    <t>LUVA, PVC, SOLDÁVEL, DN 50MM, INSTALADO EM PRUMADA DE ÁGUA - FORNECIMENTO E INSTALAÇÃO. AF_06/2022</t>
  </si>
  <si>
    <t>10.5</t>
  </si>
  <si>
    <t>TE, PVC, SOLDÁVEL, DN 60MM, INSTALADO EM PRUMADA DE ÁGUA - FORNECIMENTO E INSTALAÇÃO. AF_06/2022</t>
  </si>
  <si>
    <t>10.6</t>
  </si>
  <si>
    <t>TE, PVC, SOLDÁVEL, DN 50MM, INSTALADO EM PRUMADA DE ÁGUA - FORNECIMENTO E INSTALAÇÃO. AF_06/2022</t>
  </si>
  <si>
    <t>10.7</t>
  </si>
  <si>
    <t>JOELHO 90 GRAUS, PVC, SOLDÁVEL, DN 60MM, INSTALADO EM PRUMADA DE ÁGUA - FORNECIMENTO E INSTALAÇÃO. AF_06/2022</t>
  </si>
  <si>
    <t>10.8</t>
  </si>
  <si>
    <t>JOELHO 90 GRAUS, PVC, SOLDÁVEL, DN 50MM, INSTALADO EM RAMAL DE DISTRIBUIÇÃO DE ÁGUA - FORNECIMENTO E INSTALAÇÃO. AF_06/2022</t>
  </si>
  <si>
    <t>10.9</t>
  </si>
  <si>
    <t>ADAPTADOR COM FLANGE E ANEL DE VEDAÇÃO, PVC, SOLDÁVEL, DN 60 MM X 2 , INSTALADO EM RESERVAÇÃO DE ÁGUA DE EDIFICAÇÃO QUE POSSUA RESERVATÓRIO DE FI BRA/FIBROCIMENTO   FORNECIMENTO E INSTALAÇÃO. AF_06/2016</t>
  </si>
  <si>
    <t>10.10</t>
  </si>
  <si>
    <t>ADAPTADOR COM FLANGE E ANEL DE VEDAÇÃO, PVC, SOLDÁVEL, DN 50 MM X 1 1/2 , INSTALADO EM RESERVAÇÃO DE ÁGUA DE EDIFICAÇÃO QUE POSSUA RESERVATÓRIO DE FIBRA/FIBROCIMENTO   FORNECIMENTO E INSTALAÇÃO. AF_06/2016</t>
  </si>
  <si>
    <t>TUBULAÇÕES E CONEXÕES DE AÇO GALVANIZADO</t>
  </si>
  <si>
    <t>10.11</t>
  </si>
  <si>
    <t>TUBO DE AÇO GALVANIZADO COM COSTURA, CLASSE MÉDIA, CONEXÃO RANHURADA, DN 80 (3"), INSTALADO EM PRUMADAS - FORNECIMENTO E INSTALAÇÃO. AF_10/2020</t>
  </si>
  <si>
    <t>10.12</t>
  </si>
  <si>
    <t>LUVA, EM FERRO GALVANIZADO, 4", CONEXÃO ROSQUEADA, INSTALADO EM REDE DE ALIMENTAÇÃO PARA HIDRANTE - FORNECIMENTO E INSTALAÇÃO. AF_10/2020</t>
  </si>
  <si>
    <t>10.13</t>
  </si>
  <si>
    <t>CURVA 90 GRAUS, EM AÇO, CONEXÃO RANHURADA, DN 80 (3"), INSTALADO EM PRUMADAS - FORNECIMENTO E INSTALAÇÃO. AF_10/2020</t>
  </si>
  <si>
    <t>10.14</t>
  </si>
  <si>
    <t>TÊ, EM AÇO, CONEXÃO RANHURADA, DN 80 (3"), INSTALADO EM PRUMADAS - FORNECIMENTO E INSTALAÇÃO. AF_10/2020</t>
  </si>
  <si>
    <t>CURVA ABC</t>
  </si>
  <si>
    <t>%</t>
  </si>
  <si>
    <t>CRONOGRAMA FÍSICO-FINANCEIRO DE DESEMBOLSO MÁXIMO</t>
  </si>
  <si>
    <t>PREÇO</t>
  </si>
  <si>
    <t>15 DIAS</t>
  </si>
  <si>
    <t>30 DIAS</t>
  </si>
  <si>
    <t>45 DIAS</t>
  </si>
  <si>
    <t>60 DIAS</t>
  </si>
  <si>
    <t>R$</t>
  </si>
  <si>
    <t>PARCIAL</t>
  </si>
  <si>
    <t xml:space="preserve"> ACUMULADO</t>
  </si>
  <si>
    <t>LOCAL :</t>
  </si>
  <si>
    <t>FONTE DE PREÇOS:</t>
  </si>
  <si>
    <t>COMPOSIÇÕES DE CUSTO</t>
  </si>
  <si>
    <t>LIMPEZA DE CAIXA D'ÁGUA 15.000L</t>
  </si>
  <si>
    <t>COMPOSIÇÃO 01</t>
  </si>
  <si>
    <t>ELABORAÇÃO EM:</t>
  </si>
  <si>
    <t>TABELA</t>
  </si>
  <si>
    <t>UND.</t>
  </si>
  <si>
    <t>COEF.</t>
  </si>
  <si>
    <r>
      <rPr>
        <b/>
        <sz val="10"/>
        <rFont val="Times New Roman"/>
        <charset val="134"/>
      </rPr>
      <t>PREÇOS</t>
    </r>
    <r>
      <rPr>
        <sz val="10"/>
        <rFont val="Times New Roman"/>
        <charset val="134"/>
      </rPr>
      <t xml:space="preserve"> (R$)</t>
    </r>
  </si>
  <si>
    <t>UNITÁRIO</t>
  </si>
  <si>
    <t>MATERIAIS</t>
  </si>
  <si>
    <t>SINAPI-PE Insumos JANEIRO 2023</t>
  </si>
  <si>
    <t>00000003</t>
  </si>
  <si>
    <t>ACIDO CLORIDRICO / ACIDO MURIATICO, DILUICAO 10% A 12% PARA USO EM LIMPEZA</t>
  </si>
  <si>
    <t>L</t>
  </si>
  <si>
    <t>00000012</t>
  </si>
  <si>
    <t>ESCOVA DE ACO, COM CABO, *4 X 15* FILEIRAS DE CERDAS</t>
  </si>
  <si>
    <t>UN</t>
  </si>
  <si>
    <t>TOTAL DE MATERIAIS</t>
  </si>
  <si>
    <t>MÃO DE OBRA</t>
  </si>
  <si>
    <t>SINAPI- PE JANEIRO 2023</t>
  </si>
  <si>
    <t>SERVENTE COM ENCARGOS COMPLEMENTARES</t>
  </si>
  <si>
    <t>TOTAL DE MÃO DE OBRA</t>
  </si>
  <si>
    <t>OBSERVAÇÕES</t>
  </si>
  <si>
    <t>VALOR TOTAL (R$)</t>
  </si>
  <si>
    <t>Sem BDI =</t>
  </si>
  <si>
    <t>Com BDI de 28,82% =</t>
  </si>
  <si>
    <t>COMPOSIÇÃO BASEADA NO CÓDIGO 03.05.010 DA TABELA DA EMLURB DE COMPOSIÇÕES.</t>
  </si>
  <si>
    <t>DEMOLIÇÃO DE REBOCO ANTIGO</t>
  </si>
  <si>
    <t>COMPOSIÇÃO 02</t>
  </si>
  <si>
    <t>MATERIAL</t>
  </si>
  <si>
    <t>LOCACAO DE ANDAIME METALICO TUBULAR DE ENCAIXE, TIPO DE TORRE, CADA PAINEL COM LARGURA DE 1 ATE 1,5 M E ALTURA DE *1,00* M, INCLUINDO DIAGONAL, BARRAS DE LIGACAO, SAPATAS OU RODIZIOS E DEMAIS ITENS NECESSARIOS A MONTAGEM (NAO INCLUI INSTALACAO)</t>
  </si>
  <si>
    <t>MXMES</t>
  </si>
  <si>
    <t>1 METROS VEZES 1/30 PARA ACHAR O PERCENTUAL QUE UM DIA EQUIVALE EM RELAÇÃO AO MêS, E SERÁ CONSIDERADO 2 HORAS DE TRABALHA, VAMOS MULTIPLICAR POR 2/24 QUE É A PORCENTAGEM EQUIVALENTE DE 1 DIA PARA 2 HRS</t>
  </si>
  <si>
    <t>MARTELETE OU ROMPEDOR PNEUMÁTICO MANUAL, 28 KG, COM SILENCIADOR - CHP DIURNO. AF_07/2016</t>
  </si>
  <si>
    <t>CHP</t>
  </si>
  <si>
    <t>5952</t>
  </si>
  <si>
    <t>MARTELETE OU ROMPEDOR PNEUMÁTICO MANUAL, 28 KG, COM SILENCIADOR - CHI DIURNO. AF_07/2016</t>
  </si>
  <si>
    <t>CHI</t>
  </si>
  <si>
    <t>PEDREIRO COM ENCARGOS COMPLEMENTARES</t>
  </si>
  <si>
    <t>COMPOSIÇÃO BASEADA NA SINAPI - PE JAN/2023 ÍTENS: 97631 E 97634.</t>
  </si>
  <si>
    <t>DEMOLIÇÃO MANUAL DE CONCRETO SIMPLES (ALGEROZES DO SETOR CENTRAL)</t>
  </si>
  <si>
    <t>COMPOSIÇÃO 03</t>
  </si>
  <si>
    <t>COMPOSIÇÃO BASEADA NO CÓDIGO 03.01.200 DA TABELA DA EMLURB DE COMPOSIÇÕES.</t>
  </si>
  <si>
    <t>REMOÇÃO DE TRAMA DE MADEIRA PARA COBERTURA, DE FORMA MANUAL, SEM REAPROVEITAMENTO. AF_12/2017</t>
  </si>
  <si>
    <t>COMPOSIÇÃO 04</t>
  </si>
  <si>
    <t>SERVIÇOS</t>
  </si>
  <si>
    <t>GUINCHO ELÉTRICO DE COLUNA, CAPACIDADE 400 KG, COM MOTO FREIO, MOTOR TRIFÁSICO DE 1,25 CV - CHP DIURNO. AF_03/2016</t>
  </si>
  <si>
    <t>GUINCHO ELÉTRICO DE COLUNA, CAPACIDADE 400 KG, COM MOTO FREIO, MOTOR TRIFÁSICO DE 1,25 CV - CHI DIURNO. AF_03/2016</t>
  </si>
  <si>
    <t>TOTAL DE SERVIÇOS</t>
  </si>
  <si>
    <t>88316</t>
  </si>
  <si>
    <t>TELHADISTA COM ENCARGOS COMPLEMENTARES</t>
  </si>
  <si>
    <t>COMPOSIÇÃO BASEADA NA TABELA DA SINAPI - PE JAN/2023 ÍTENS: 97649 E 97650.</t>
  </si>
  <si>
    <t>CONCRETO ARMADO PRONTO, FGK 25 MPA, CONDIÇÃO B (NBR 12655), SUBSTITUINDO O CIMENTO POR GRAUTE, LANÇADO EM QUALQUER TIPO DE ESTRUTURA E ADENSADO, INCLUSIVE FORMA, ESCORAMENTO E FERRAGEM.</t>
  </si>
  <si>
    <t>COMPOSIÇÃO 05</t>
  </si>
  <si>
    <t>ARAME RECOZIDO 16 BWG, D = 1,65 MM (0,016 KG/M) OU 18 BWG, D = 1,25 MM (0,01 KG/M)</t>
  </si>
  <si>
    <t>KG</t>
  </si>
  <si>
    <t>PREGO DE ACO POLIDO COM CABECA 17 X 27 (2 1/2 X 11)</t>
  </si>
  <si>
    <t>ACO CA-50, 12,5 MM OU 16,0 MM, VERGALHAO</t>
  </si>
  <si>
    <t>M2</t>
  </si>
  <si>
    <t>TABUA NAO APARELHADA *2,5 X 15* CM, EM MACARANDUBA, ANGELIM OU EQUIVALENTE DA REGIAO - BRUTA</t>
  </si>
  <si>
    <t>SARRAFO NAO APARELHADO 2,5 X 5 CM, EM MACARANDUBA, ANGELIM OU EQUIVALENTE DA
REGIAO - BRUTA</t>
  </si>
  <si>
    <t>CAIBRO 5 X 5 CM EM PINUS, MISTA OU EQUIVALENTE DA REGIAO - BRUTA</t>
  </si>
  <si>
    <t>GRAUTE FGK=25 MPA; TRAÇO 1:1,3:1,6:0,4 (EM MASSA SECA DE CIMENTO/ AREIA GROSSA/ BRITA 0/ ADITIVO) - PREPARO MECÂNICO COM BETONEIRA 400 L. AF_09/2021</t>
  </si>
  <si>
    <t>AJUDANTE DE OPERAÇÃO EM GERAL COM ENCARGOS COMPLEMENTARES</t>
  </si>
  <si>
    <t>ARMADOR COM ENCARGOS COMPLEMENTARES</t>
  </si>
  <si>
    <t>CARPINTEIRO DE FORMAS COM ENCARGOS COMPLEMENTARES</t>
  </si>
  <si>
    <t>COMPOSIÇÃO BASEADA NO CÓDIGO 06.03.142 DA TABELA DA EMLURB DE COMPOSIÇÕES.</t>
  </si>
  <si>
    <t>ESQUADRIA DE MADEIRA COM GRADE E FOLHA EM MADEIRA DE LEI PARA PORTAS EXTERNAS INCLUSIVE ASSENTAMENTO E FERRAGENS.</t>
  </si>
  <si>
    <t>COMPOSIÇÃO 06</t>
  </si>
  <si>
    <t>CIMENTO PORTLAND COMPOSTO CP II-32</t>
  </si>
  <si>
    <t>AREIA GROSSA - POSTO JAZIDA/FORNECEDOR (RETIRADO NA JAZIDA, SEM TRANSPORTE)</t>
  </si>
  <si>
    <t>PORTA DE MADEIRA, MACIÇA (PESADA OU SUPERPESADA), 90X210CM, ESPESSURA DE 3,5CM, INCLUSO DOBRADIÇAS - FORNECIMENTO E INSTALAÇÃO. AF_12/2019</t>
  </si>
  <si>
    <t>FECHADURA DE EMBUTIR COM CILINDRO, EXTERNA, COMPLETA, ACABAMENTO PADRÃO MÉDIO, INCLUSO EXECUÇÃO DE FURO - FORNECIMENTO E INSTALAÇÃO. AF_12/2
 019</t>
  </si>
  <si>
    <t>CARPINTEIRO DE ESQUADRIA COM ENCARGOS COMPLEMENTARES</t>
  </si>
  <si>
    <t>COMPOSIÇÃO BASEADA NO CÓDIGO 09.01.020 DA TABELA DA EMLURB DE COMPOSIÇÕES.</t>
  </si>
  <si>
    <t>ALVENARIA DE TIJOLOS MACIÇOS PRENSADOS PARA PILARETES DE SUSTENTAÇÃO DO MADEIRAMENTO DA COBERTA, ASSENTADOS E REJUNTADOS COM ARGAMASSA DE CIMENTO E AREIA NO TRAÇO 1:6 - 1 VEZ.</t>
  </si>
  <si>
    <t>COMPOSIÇÃO 07</t>
  </si>
  <si>
    <t>TIJOLO CERAMICO MACICO COMUM *5 X 10 X 20* CM (L X A X C)</t>
  </si>
  <si>
    <t>ARGAMASSA TRAÇO 1:2:8 (EM VOLUME DE CIMENTO, CAL E AREIA MÉDIA ÚMIDA) PARA EMBOÇO/MASSA ÚNICA/ASSENTAMENTO DE ALVENARIA DE VEDAÇÃO, PREPARO MECÂNICO COM BETONEIRA 400 L. AF_08/2019</t>
  </si>
  <si>
    <t>88309</t>
  </si>
  <si>
    <t>COMPOSIÇÃO BASEADA NO CÓDIGO 07.01.055 DA TABELA DA EMLURB DE COMPOSIÇÕES.</t>
  </si>
  <si>
    <t>CALHA DE TIJOLOS MACIÇOS PRENSADOS PARA CONFECÇÃO DE PAREDE DE CALHA, ASSENTADOS E REJUNTADOS COM ARGAMASSA DE CIMENTO E AREIA NO TRAÇO 1:2:8 - 1 VEZ, CHAPISCAOS E REBOCADOS</t>
  </si>
  <si>
    <t>COMPOSIÇÃO 08</t>
  </si>
  <si>
    <t>ALVENARIA</t>
  </si>
  <si>
    <t>CHAPISCO</t>
  </si>
  <si>
    <t>ARGAMASSA TRAÇO 1:3 (EM VOLUME DE CIMENTO E AREIA GROSSA ÚMIDA) PARA CHAPISCO CONVENCIONAL, PREPARO MECÂNICO COM BETONEIRA 400 L. AF_08/2019</t>
  </si>
  <si>
    <t>REBOCO</t>
  </si>
  <si>
    <t>COMPOSIÇÃO BASEADA NO CÓDIGO 07.01.055 DA TABELA DA EMLURB DE COMPOSIÇÕES</t>
  </si>
  <si>
    <t>PINTURA A BASE DE EMULSAO ACRILICA, EM TETO, DUAS DEMAOS, INCLUSIVE LIQUIDO SELADOR UMA DEMAO, E DUAS DEMAOS DE MASSA ACRILICA.</t>
  </si>
  <si>
    <t>COMPOSIÇÃO 09</t>
  </si>
  <si>
    <t>TINTA LATEX ACRILICA ECONOMICA, COR BRANCA</t>
  </si>
  <si>
    <t>MASSA ACRILICA PARA SUPERFICIES INTERNAS E EXTERNAS</t>
  </si>
  <si>
    <t>SELADOR ACRILICO OPACO PREMIUM INTERIOR/EXTERIOR</t>
  </si>
  <si>
    <t>LIXA EM FOLHA PARA PAREDE OU MADEIRA, NUMERO 120, COR VERMELHA</t>
  </si>
  <si>
    <t>PINTOR COM ENCARGOS COMPLEMENTARES</t>
  </si>
  <si>
    <t>AJUDANTE DE PINTOR COM ENCARGOS COMPLEMENTARES</t>
  </si>
  <si>
    <t>COMPOSIÇÃO BASEADA NO CÓDIGO 16.03.060 DA TABELA DA EMLURB DE COMPOSIÇÕES</t>
  </si>
  <si>
    <t>PINTURA COM ESMALTE SINTÉTICO EM ESQUADRIA DE MADEIRA, DUAS DEMÃOS, COM RASPAGEM E APARELHAMENTO COM ZARCÃO</t>
  </si>
  <si>
    <t>COMPOSIÇÃO 10</t>
  </si>
  <si>
    <t>TINTA ESMALTE SINTETICO PREMIUM ACETINADO</t>
  </si>
  <si>
    <t>MASSA PARA MADEIRA - INTERIOR E EXTERIOR</t>
  </si>
  <si>
    <t>FUNDO SINTETICO NIVELADOR BRANCO FOSCO PARA MADEIRA</t>
  </si>
  <si>
    <t>DILUENTE AGUARRAS</t>
  </si>
  <si>
    <t>COMPOSIÇÃO BASEADA NO CÓDIGO 16.04.060 DA TABELA DA EMLURB DE COMPOSIÇÕES.</t>
  </si>
  <si>
    <t>LIMPEZA GERAL DE OBRA</t>
  </si>
  <si>
    <t>COMPOSIÇÃO 11</t>
  </si>
  <si>
    <t>VASSOURA 40 CM COM CABO</t>
  </si>
  <si>
    <t>COMPOSIÇÃO BASEADA NA TABELA DA SINAPI.</t>
  </si>
  <si>
    <t>PLACA DE OBRA EM CHAPA DE AÇO GALVANIZADO</t>
  </si>
  <si>
    <t>COMPOSIÇÃO 12</t>
  </si>
  <si>
    <t>SARRAFO NAO APARELHADO *2,5 X 7* CM, EM MACARANDUBA, ANGELIM OU EQUIVALENTE DA REGIAO - BRUTA</t>
  </si>
  <si>
    <t>PONTALETE *7,5 X 7,5* CM EM PINUS, MISTA OU EQUIVALENTE DA REGIAO - BRUTA</t>
  </si>
  <si>
    <t>PLACA DE OBRA (PARA CONSTRUCAO CIVIL) EM CHAPA GALVANIZADA *N. 22*, ADESIVADA, DE *2,4 X 1,2* M (SEM POSTES PARA FIXACAO</t>
  </si>
  <si>
    <t>PREGO DE ACO POLIDO COM CABECA 18 X 30 (2 3/4 X 10)</t>
  </si>
  <si>
    <t>CONCRETO MAGRO PARA LASTRO, TRAÇO 1:4,5:4,5 (EM MASSA SECA DE CIMENTO/ AREIA MÉDIA/ BRITA 1) - PREPARO MECÂNICO COM BETONEIRA 400 L. AF_05/2021</t>
  </si>
  <si>
    <t>CONSUMOS DESCRITOS NA COMPOSIÇÃO 72409/1 SINAPI.</t>
  </si>
  <si>
    <t>TELHAMENTO COM TELHA ONDULADA DE FIBROCIMENTO E = 8 MM, COM RECOBRIMENTO LATERAL DE 1 1/4 DE ONDA PARA TELHADO COM INCLINAÇÃO MÁXIMA DE 10°, COM ATÉ 2 ÁGUAS, INCLUSO IÇAMENTO. AF_07/2019</t>
  </si>
  <si>
    <t>COMPOSIÇÃO 13</t>
  </si>
  <si>
    <t>CONJUNTO ARRUELAS DE VEDACAO 5/16" PARA TELHA FIBROCIMENTO (UMA ARRUELA METALICA E UMA ARRUELA PVC - CONICAS)</t>
  </si>
  <si>
    <t>CJ</t>
  </si>
  <si>
    <t>PARAFUSO ZINCADO ROSCA SOBERBA, CABECA SEXTAVADA, 5/16 " X 250 MM, PARA FIXACAO DE TELHA EM MADEIRA</t>
  </si>
  <si>
    <t>TELHA DE FIBROCIMENTO ONDULADA E = 8 MM, DE 3,66 X 1,10 M (SEM AMIANTO)</t>
  </si>
  <si>
    <t>CUMEEIRA PARA TELHA DE FIBROCIMENTO ESTRUTURAL E = 8 MM, INCLUSO ACESSÓRIOS DE FIXAÇÃO E IÇAMENTO. AF_07/2019</t>
  </si>
  <si>
    <t>COMPOSIÇÃO 14</t>
  </si>
  <si>
    <t>1607</t>
  </si>
  <si>
    <t>4302</t>
  </si>
  <si>
    <t>CUMEEIRA NORMAL PARA TELHA ESTRUTURAL DE FIBROCIMENTO 2 ABAS, E = 6 MM, DE 1050 X 935 MM (SEM AMIANTO)</t>
  </si>
  <si>
    <t>93281</t>
  </si>
  <si>
    <t>93282</t>
  </si>
  <si>
    <t>88323</t>
  </si>
  <si>
    <t>REMOÇÃO DE MASSA LATÉX</t>
  </si>
  <si>
    <t>COMPOSIÇÃO 15</t>
  </si>
  <si>
    <t>COMPOSIÇÃO BASEADA NA SINAPI 97631.</t>
  </si>
  <si>
    <t>PINTURA DE FUNDO (TIPO ZARÃO) PULVERIZADA SOBRE SUPERFÍCIES METÁLICAS COM ACABAMENTO EM PINTURA (TIPO ESMALTE SINTÉTICO) PULVERIZADA, DUAS DEMÃOS, INCLUSO LIXAMENTO.</t>
  </si>
  <si>
    <t>COMPOSIÇÃO 16</t>
  </si>
  <si>
    <t>SERVIÇO</t>
  </si>
  <si>
    <t>LIXAMENTO MANUAL EM SUPERFÍCIES METÁLICAS EM OBRA. AF_01/2020</t>
  </si>
  <si>
    <t>PINTURA COM TINTA ALQUÍDICA DE FUNDO (TIPO ZARCÃO) PULVERIZADA SOBRE SUPERFÍCIES METÁLICAS (EXCETO PERFIL) EXECUTADO EM OBRA (POR DEMÃO). AF_01/2020_P</t>
  </si>
  <si>
    <t>PINTURA COM TINTA ALQUÍDICA DE FUNDO E ACABAMENTO (ESMALTE SINTÉTICO GRAFITE) PULVERIZADA SOBRE SUPERFÍCIES METÁLICAS (EXCETO PERFIL) EXECUTADO EM OBRA (POR DEMÃO). AF_01/2020_P</t>
  </si>
  <si>
    <t>COMPOSIÇÃO BASEADA NA SINAPI.</t>
  </si>
  <si>
    <t>SECRETARIA INFRAESTRUTURA</t>
  </si>
  <si>
    <t>AV. BELMINO CORREIA, 2340 - TIMBI - CAMARAGIBE-PE.</t>
  </si>
  <si>
    <t>COMPOSIÇÃO DO BDI</t>
  </si>
  <si>
    <t>ITEM COMPONENTE DO BDI</t>
  </si>
  <si>
    <t>ADMINISTRAÇÃO CENTRAL</t>
  </si>
  <si>
    <t>AC</t>
  </si>
  <si>
    <t>RISCOS</t>
  </si>
  <si>
    <t>R</t>
  </si>
  <si>
    <t>SEGURO GARANTIA</t>
  </si>
  <si>
    <t>S+G</t>
  </si>
  <si>
    <t>DESPESAS FINACEIRAS</t>
  </si>
  <si>
    <t>DF</t>
  </si>
  <si>
    <t>LUCRO</t>
  </si>
  <si>
    <t>TRIBUTOS (PIS+COFINS+ISS)</t>
  </si>
  <si>
    <t>I</t>
  </si>
  <si>
    <t>CONTRIBUIÇÃO PREVIDENCIÁRIA SOBRE RECEITA BRUTA (CPRB)</t>
  </si>
  <si>
    <t>BDI  (%)</t>
  </si>
  <si>
    <t>Esta planilha foi elaborada conforme equação para cálculo do percentual do BDI recomendada pelo relatório do acórdão TCU – 2369/2011 e TCU – 2622/2013, conforme abaixo ilustrado.</t>
  </si>
  <si>
    <t xml:space="preserve"> BDI (%) = </t>
  </si>
  <si>
    <t>{[(1+AC/100+SG/100+R/100)x(1+DF/100)X(1+L/100)]/(1-T/100)-1}x100</t>
  </si>
  <si>
    <t>https://paineldeprecos.planejamento.gov.br/</t>
  </si>
</sst>
</file>

<file path=xl/styles.xml><?xml version="1.0" encoding="utf-8"?>
<styleSheet xmlns="http://schemas.openxmlformats.org/spreadsheetml/2006/main">
  <numFmts count="29">
    <numFmt numFmtId="176" formatCode="[$R$-416]\ #,##0.00;[Red]\-[$R$-416]\ #,##0.00"/>
    <numFmt numFmtId="177" formatCode="_-&quot;R$&quot;* #,##0.00_-;\-&quot;R$&quot;* #,##0.00_-;_-&quot;R$&quot;* &quot;-&quot;??_-;_-@_-"/>
    <numFmt numFmtId="178" formatCode="[$-416]mmmm\-yy;@"/>
    <numFmt numFmtId="179" formatCode="&quot;R$&quot;#,##0.00_);[Red]&quot;(R$&quot;#,##0.00\)"/>
    <numFmt numFmtId="180" formatCode="&quot;R$ &quot;#,##0.00_);[Red]\(&quot;R$ &quot;#,##0.00\)"/>
    <numFmt numFmtId="181" formatCode="_-* #,##0.00_-;\-* #,##0.00_-;_-* &quot;-&quot;??_-;_-@_-"/>
    <numFmt numFmtId="182" formatCode="* #,##0.00\ ;* \(#,##0.00\);* \-#\ ;@\ "/>
    <numFmt numFmtId="183" formatCode="_-* #,##0_-;\-* #,##0_-;_-* &quot;-&quot;_-;_-@_-"/>
    <numFmt numFmtId="184" formatCode="dd/mm/yy"/>
    <numFmt numFmtId="185" formatCode="_-&quot;R$&quot;\ * #,##0_-;\-&quot;R$&quot;\ * #,##0_-;_-&quot;R$&quot;\ * &quot;-&quot;_-;_-@_-"/>
    <numFmt numFmtId="186" formatCode="_(* #,##0.00_);_(* \(#,##0.00\);_(* &quot;-&quot;??_);_(@_)"/>
    <numFmt numFmtId="187" formatCode="&quot;TOTAL=&quot;0.00&quot;m²&quot;"/>
    <numFmt numFmtId="188" formatCode="&quot;R$&quot;\ #,##0.00;[Red]&quot;R$&quot;\ #,##0.00"/>
    <numFmt numFmtId="189" formatCode="0&quot;.&quot;0"/>
    <numFmt numFmtId="190" formatCode="_-&quot;R$&quot;\ * #,##0.00_-;\-&quot;R$&quot;\ * #,##0.00_-;_-&quot;R$&quot;\ * &quot;-&quot;??_-;_-@_-"/>
    <numFmt numFmtId="191" formatCode="_-* #,##0.00_-;\-* #,##0.00_-;_-* \-??_-;_-@_-"/>
    <numFmt numFmtId="192" formatCode="#,##0.000"/>
    <numFmt numFmtId="193" formatCode="0.0000%"/>
    <numFmt numFmtId="194" formatCode="&quot;R$&quot;\ #,##0.00;\-&quot;R$&quot;\ #,##0.00"/>
    <numFmt numFmtId="195" formatCode="0.000"/>
    <numFmt numFmtId="196" formatCode="0.0000"/>
    <numFmt numFmtId="197" formatCode="0.0"/>
    <numFmt numFmtId="198" formatCode="&quot;R$&quot;#,##0.00_);[Red]\(&quot;R$&quot;#,##0.00\)"/>
    <numFmt numFmtId="199" formatCode="&quot;R$&quot;\ #,##0.00_);[Red]\(&quot;R$&quot;\ #,##0.00\)"/>
    <numFmt numFmtId="200" formatCode="0.00_ "/>
    <numFmt numFmtId="201" formatCode="#,##0.0000"/>
    <numFmt numFmtId="202" formatCode="d/m/yy"/>
    <numFmt numFmtId="203" formatCode="&quot;R$&quot;\ #,##0.00_);[Red]\(&quot;R$&quot;\ #,###.00\)"/>
    <numFmt numFmtId="204" formatCode="&quot;R$&quot;\ #,##0.00000_);[Red]\(&quot;R$&quot;\ #,###.00000\)"/>
  </numFmts>
  <fonts count="57">
    <font>
      <sz val="10"/>
      <color rgb="FF000000"/>
      <name val="Times New Roman"/>
      <charset val="1"/>
    </font>
    <font>
      <sz val="12"/>
      <name val="Times New Roman"/>
      <charset val="134"/>
    </font>
    <font>
      <b/>
      <sz val="16"/>
      <name val="Times New Roman"/>
      <charset val="134"/>
    </font>
    <font>
      <b/>
      <sz val="14"/>
      <name val="Times New Roman"/>
      <charset val="134"/>
    </font>
    <font>
      <b/>
      <sz val="12"/>
      <name val="Times New Roman"/>
      <charset val="134"/>
    </font>
    <font>
      <u/>
      <sz val="11"/>
      <color rgb="FF0000FF"/>
      <name val="Calibri"/>
      <charset val="134"/>
      <scheme val="minor"/>
    </font>
    <font>
      <sz val="10"/>
      <color indexed="8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12"/>
      <color rgb="FF000000"/>
      <name val="Times New Roman"/>
      <charset val="134"/>
    </font>
    <font>
      <sz val="14"/>
      <name val="Times New Roman"/>
      <charset val="134"/>
    </font>
    <font>
      <b/>
      <u/>
      <sz val="12"/>
      <name val="Times New Roman"/>
      <charset val="134"/>
    </font>
    <font>
      <b/>
      <sz val="18"/>
      <name val="Times New Roman"/>
      <charset val="134"/>
    </font>
    <font>
      <sz val="10"/>
      <name val="Arial"/>
      <charset val="134"/>
    </font>
    <font>
      <sz val="16"/>
      <name val="Times New Roman"/>
      <charset val="134"/>
    </font>
    <font>
      <sz val="16"/>
      <name val="Arial"/>
      <charset val="134"/>
    </font>
    <font>
      <sz val="10"/>
      <color theme="1"/>
      <name val="Times New Roman"/>
      <charset val="134"/>
    </font>
    <font>
      <b/>
      <sz val="14"/>
      <color theme="1"/>
      <name val="Times New Roman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0"/>
      <color rgb="FF006600"/>
      <name val="Times New Roman"/>
      <charset val="134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0"/>
      <color rgb="FFFFFFFF"/>
      <name val="Times New Roman"/>
      <charset val="134"/>
    </font>
    <font>
      <i/>
      <sz val="11"/>
      <color rgb="FF7F7F7F"/>
      <name val="Calibri"/>
      <charset val="0"/>
      <scheme val="minor"/>
    </font>
    <font>
      <sz val="11"/>
      <color rgb="FF333333"/>
      <name val="Calibri"/>
      <charset val="134"/>
    </font>
    <font>
      <b/>
      <sz val="10"/>
      <color rgb="FF000000"/>
      <name val="Times New Roman"/>
      <charset val="134"/>
    </font>
    <font>
      <i/>
      <sz val="10"/>
      <color rgb="FF808080"/>
      <name val="Times New Roman"/>
      <charset val="134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0"/>
      <color rgb="FFCC0000"/>
      <name val="Times New Roman"/>
      <charset val="134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0"/>
      <color rgb="FFFFFFFF"/>
      <name val="Times New Roman"/>
      <charset val="134"/>
    </font>
    <font>
      <sz val="18"/>
      <color rgb="FF000000"/>
      <name val="Times New Roman"/>
      <charset val="134"/>
    </font>
    <font>
      <sz val="10"/>
      <color rgb="FF996600"/>
      <name val="Times New Roman"/>
      <charset val="134"/>
    </font>
    <font>
      <u/>
      <sz val="10"/>
      <color rgb="FF0000EE"/>
      <name val="Times New Roman"/>
      <charset val="134"/>
    </font>
    <font>
      <sz val="11"/>
      <color indexed="8"/>
      <name val="Calibri"/>
      <charset val="134"/>
    </font>
    <font>
      <sz val="11"/>
      <color rgb="FF000000"/>
      <name val="Arial"/>
      <charset val="134"/>
    </font>
    <font>
      <sz val="11"/>
      <color rgb="FF000000"/>
      <name val="Calibri"/>
      <charset val="134"/>
    </font>
    <font>
      <sz val="10"/>
      <color rgb="FF333333"/>
      <name val="Times New Roman"/>
      <charset val="134"/>
    </font>
  </fonts>
  <fills count="5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0"/>
        <bgColor rgb="FFDDD9C3"/>
      </patternFill>
    </fill>
    <fill>
      <patternFill patternType="solid">
        <fgColor theme="4" tint="0.799981688894314"/>
        <bgColor rgb="FFDDD9C3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6"/>
        <bgColor indexed="31"/>
      </patternFill>
    </fill>
    <fill>
      <patternFill patternType="solid">
        <fgColor theme="4" tint="0.8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rgb="FFDDD9C3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CFFCC"/>
        <bgColor rgb="FFCC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CC"/>
        <bgColor rgb="FFDDD9C3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0000"/>
        <bgColor rgb="FF800000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DDDDDD"/>
        <bgColor rgb="FFDDD9C3"/>
      </patternFill>
    </fill>
    <fill>
      <patternFill patternType="solid">
        <fgColor rgb="FF808080"/>
        <bgColor rgb="FF969696"/>
      </patternFill>
    </fill>
  </fills>
  <borders count="33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82">
    <xf numFmtId="0" fontId="0" fillId="0" borderId="0"/>
    <xf numFmtId="181" fontId="12" fillId="0" borderId="0" applyFont="0" applyFill="0" applyBorder="0" applyAlignment="0" applyProtection="0"/>
    <xf numFmtId="183" fontId="24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9" fontId="17" fillId="0" borderId="0" applyBorder="0" applyAlignment="0" applyProtection="0"/>
    <xf numFmtId="0" fontId="28" fillId="0" borderId="25" applyNumberFormat="0" applyFill="0" applyAlignment="0" applyProtection="0">
      <alignment vertical="center"/>
    </xf>
    <xf numFmtId="0" fontId="25" fillId="21" borderId="24" applyNumberFormat="0" applyAlignment="0" applyProtection="0">
      <alignment vertical="center"/>
    </xf>
    <xf numFmtId="185" fontId="24" fillId="0" borderId="0" applyFon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177" fontId="17" fillId="0" borderId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3" fillId="0" borderId="0" applyBorder="0" applyProtection="0"/>
    <xf numFmtId="0" fontId="5" fillId="0" borderId="0" applyNumberFormat="0" applyFill="0" applyBorder="0" applyAlignment="0" applyProtection="0">
      <alignment vertical="center"/>
    </xf>
    <xf numFmtId="0" fontId="24" fillId="28" borderId="28" applyNumberFormat="0" applyFon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9" borderId="0" applyBorder="0" applyProtection="0"/>
    <xf numFmtId="0" fontId="38" fillId="0" borderId="0" applyNumberFormat="0" applyFill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42" fillId="43" borderId="29" applyNumberFormat="0" applyAlignment="0" applyProtection="0">
      <alignment vertical="center"/>
    </xf>
    <xf numFmtId="0" fontId="44" fillId="44" borderId="30" applyNumberFormat="0" applyAlignment="0" applyProtection="0">
      <alignment vertical="center"/>
    </xf>
    <xf numFmtId="0" fontId="43" fillId="44" borderId="29" applyNumberFormat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1" fillId="51" borderId="0" applyBorder="0" applyProtection="0"/>
    <xf numFmtId="0" fontId="26" fillId="4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41" fillId="0" borderId="0" applyBorder="0" applyProtection="0"/>
    <xf numFmtId="0" fontId="52" fillId="0" borderId="0" applyBorder="0" applyProtection="0"/>
    <xf numFmtId="0" fontId="27" fillId="2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7" fillId="0" borderId="0"/>
    <xf numFmtId="0" fontId="27" fillId="31" borderId="0" applyNumberFormat="0" applyBorder="0" applyAlignment="0" applyProtection="0">
      <alignment vertical="center"/>
    </xf>
    <xf numFmtId="0" fontId="37" fillId="54" borderId="0" applyBorder="0" applyProtection="0"/>
    <xf numFmtId="0" fontId="17" fillId="0" borderId="0"/>
    <xf numFmtId="0" fontId="40" fillId="53" borderId="0" applyBorder="0" applyProtection="0"/>
    <xf numFmtId="0" fontId="50" fillId="0" borderId="0" applyBorder="0" applyProtection="0"/>
    <xf numFmtId="0" fontId="40" fillId="0" borderId="0" applyBorder="0" applyProtection="0"/>
    <xf numFmtId="0" fontId="45" fillId="45" borderId="0" applyBorder="0" applyProtection="0"/>
    <xf numFmtId="0" fontId="49" fillId="49" borderId="0" applyBorder="0" applyProtection="0"/>
    <xf numFmtId="182" fontId="39" fillId="0" borderId="0" applyBorder="0" applyProtection="0"/>
    <xf numFmtId="0" fontId="33" fillId="32" borderId="0" applyBorder="0" applyProtection="0"/>
    <xf numFmtId="0" fontId="17" fillId="0" borderId="0"/>
    <xf numFmtId="0" fontId="17" fillId="0" borderId="0"/>
    <xf numFmtId="0" fontId="17" fillId="0" borderId="0"/>
    <xf numFmtId="0" fontId="53" fillId="0" borderId="0"/>
    <xf numFmtId="0" fontId="24" fillId="0" borderId="0">
      <alignment vertical="center"/>
    </xf>
    <xf numFmtId="0" fontId="54" fillId="0" borderId="0"/>
    <xf numFmtId="0" fontId="55" fillId="0" borderId="0"/>
    <xf numFmtId="0" fontId="56" fillId="51" borderId="32" applyProtection="0"/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2" fontId="17" fillId="0" borderId="0" applyBorder="0" applyProtection="0"/>
    <xf numFmtId="180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0" fontId="12" fillId="0" borderId="0" applyBorder="0" applyProtection="0"/>
    <xf numFmtId="0" fontId="12" fillId="0" borderId="0" applyBorder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45" fillId="0" borderId="0" applyBorder="0" applyProtection="0"/>
  </cellStyleXfs>
  <cellXfs count="391">
    <xf numFmtId="0" fontId="0" fillId="0" borderId="0" xfId="0"/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12" applyBorder="1" applyAlignment="1" applyProtection="1">
      <alignment horizontal="left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right" vertical="center"/>
    </xf>
    <xf numFmtId="179" fontId="3" fillId="6" borderId="8" xfId="0" applyNumberFormat="1" applyFont="1" applyFill="1" applyBorder="1" applyAlignment="1">
      <alignment horizontal="center" vertical="center"/>
    </xf>
    <xf numFmtId="179" fontId="1" fillId="2" borderId="0" xfId="0" applyNumberFormat="1" applyFont="1" applyFill="1"/>
    <xf numFmtId="0" fontId="1" fillId="2" borderId="0" xfId="0" applyFont="1" applyFill="1"/>
    <xf numFmtId="179" fontId="1" fillId="3" borderId="0" xfId="0" applyNumberFormat="1" applyFont="1" applyFill="1"/>
    <xf numFmtId="0" fontId="1" fillId="3" borderId="0" xfId="0" applyFont="1" applyFill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 wrapText="1"/>
    </xf>
    <xf numFmtId="0" fontId="7" fillId="0" borderId="8" xfId="68" applyFont="1" applyBorder="1" applyAlignment="1">
      <alignment horizontal="right" vertical="center" wrapText="1"/>
    </xf>
    <xf numFmtId="0" fontId="7" fillId="4" borderId="8" xfId="68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10" fontId="8" fillId="0" borderId="8" xfId="0" applyNumberFormat="1" applyFont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justify"/>
    </xf>
    <xf numFmtId="2" fontId="7" fillId="4" borderId="8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0" borderId="9" xfId="67" applyFont="1" applyBorder="1" applyAlignment="1">
      <alignment horizontal="center"/>
    </xf>
    <xf numFmtId="0" fontId="8" fillId="0" borderId="10" xfId="67" applyFont="1" applyBorder="1" applyAlignment="1">
      <alignment horizontal="center"/>
    </xf>
    <xf numFmtId="0" fontId="8" fillId="0" borderId="11" xfId="67" applyFont="1" applyBorder="1" applyAlignment="1">
      <alignment horizontal="center"/>
    </xf>
    <xf numFmtId="0" fontId="8" fillId="0" borderId="8" xfId="67" applyFont="1" applyBorder="1" applyAlignment="1">
      <alignment horizontal="right" vertical="center"/>
    </xf>
    <xf numFmtId="0" fontId="9" fillId="0" borderId="8" xfId="53" applyFont="1" applyBorder="1" applyAlignment="1">
      <alignment horizontal="left" vertical="center" wrapText="1"/>
    </xf>
    <xf numFmtId="0" fontId="0" fillId="0" borderId="0" xfId="0" applyFont="1"/>
    <xf numFmtId="0" fontId="3" fillId="0" borderId="1" xfId="69" applyFont="1" applyBorder="1" applyAlignment="1">
      <alignment horizontal="center"/>
    </xf>
    <xf numFmtId="0" fontId="3" fillId="0" borderId="2" xfId="69" applyFont="1" applyBorder="1" applyAlignment="1">
      <alignment horizontal="center"/>
    </xf>
    <xf numFmtId="0" fontId="3" fillId="0" borderId="3" xfId="69" applyFont="1" applyBorder="1" applyAlignment="1">
      <alignment horizontal="center"/>
    </xf>
    <xf numFmtId="0" fontId="3" fillId="0" borderId="4" xfId="69" applyFont="1" applyBorder="1" applyAlignment="1">
      <alignment horizontal="center" vertical="top" wrapText="1"/>
    </xf>
    <xf numFmtId="0" fontId="3" fillId="0" borderId="5" xfId="69" applyFont="1" applyBorder="1" applyAlignment="1">
      <alignment horizontal="center" vertical="top" wrapText="1"/>
    </xf>
    <xf numFmtId="0" fontId="3" fillId="0" borderId="6" xfId="69" applyFont="1" applyBorder="1" applyAlignment="1">
      <alignment horizontal="center" vertical="top" wrapText="1"/>
    </xf>
    <xf numFmtId="0" fontId="4" fillId="0" borderId="8" xfId="69" applyFont="1" applyBorder="1" applyAlignment="1">
      <alignment horizontal="center" vertical="center" wrapText="1"/>
    </xf>
    <xf numFmtId="0" fontId="1" fillId="0" borderId="9" xfId="69" applyFont="1" applyBorder="1" applyAlignment="1">
      <alignment horizontal="left" vertical="center" wrapText="1"/>
    </xf>
    <xf numFmtId="0" fontId="1" fillId="0" borderId="10" xfId="69" applyFont="1" applyBorder="1" applyAlignment="1">
      <alignment horizontal="left" vertical="center" wrapText="1"/>
    </xf>
    <xf numFmtId="0" fontId="1" fillId="0" borderId="11" xfId="69" applyFont="1" applyBorder="1" applyAlignment="1">
      <alignment horizontal="left" vertical="center" wrapText="1"/>
    </xf>
    <xf numFmtId="0" fontId="4" fillId="9" borderId="9" xfId="69" applyFont="1" applyFill="1" applyBorder="1" applyAlignment="1">
      <alignment horizontal="center" vertical="center" wrapText="1"/>
    </xf>
    <xf numFmtId="0" fontId="4" fillId="9" borderId="10" xfId="69" applyFont="1" applyFill="1" applyBorder="1" applyAlignment="1">
      <alignment horizontal="center" vertical="center" wrapText="1"/>
    </xf>
    <xf numFmtId="0" fontId="4" fillId="9" borderId="11" xfId="69" applyFont="1" applyFill="1" applyBorder="1" applyAlignment="1">
      <alignment horizontal="center" vertical="center" wrapText="1"/>
    </xf>
    <xf numFmtId="0" fontId="10" fillId="10" borderId="9" xfId="68" applyFont="1" applyFill="1" applyBorder="1" applyAlignment="1" applyProtection="1">
      <alignment horizontal="center" vertical="center" wrapText="1"/>
      <protection locked="0"/>
    </xf>
    <xf numFmtId="0" fontId="10" fillId="10" borderId="10" xfId="68" applyFont="1" applyFill="1" applyBorder="1" applyAlignment="1" applyProtection="1">
      <alignment horizontal="center" vertical="center" wrapText="1"/>
      <protection locked="0"/>
    </xf>
    <xf numFmtId="0" fontId="10" fillId="10" borderId="11" xfId="68" applyFont="1" applyFill="1" applyBorder="1" applyAlignment="1" applyProtection="1">
      <alignment horizontal="center" vertical="center" wrapText="1"/>
      <protection locked="0"/>
    </xf>
    <xf numFmtId="0" fontId="10" fillId="0" borderId="8" xfId="68" applyFont="1" applyBorder="1" applyAlignment="1" applyProtection="1">
      <alignment horizontal="center" vertical="center" wrapText="1"/>
      <protection locked="0"/>
    </xf>
    <xf numFmtId="4" fontId="10" fillId="0" borderId="8" xfId="68" applyNumberFormat="1" applyFont="1" applyBorder="1" applyAlignment="1" applyProtection="1">
      <alignment horizontal="center" vertical="center" wrapText="1"/>
      <protection locked="0"/>
    </xf>
    <xf numFmtId="0" fontId="10" fillId="11" borderId="9" xfId="68" applyFont="1" applyFill="1" applyBorder="1" applyAlignment="1" applyProtection="1">
      <alignment horizontal="center" vertical="center"/>
      <protection locked="0"/>
    </xf>
    <xf numFmtId="0" fontId="10" fillId="11" borderId="11" xfId="68" applyFont="1" applyFill="1" applyBorder="1" applyAlignment="1" applyProtection="1">
      <alignment horizontal="center" vertical="center"/>
      <protection locked="0"/>
    </xf>
    <xf numFmtId="0" fontId="10" fillId="2" borderId="8" xfId="68" applyFont="1" applyFill="1" applyBorder="1" applyAlignment="1">
      <alignment horizontal="left" vertical="center"/>
    </xf>
    <xf numFmtId="0" fontId="10" fillId="2" borderId="8" xfId="68" applyFont="1" applyFill="1" applyBorder="1" applyAlignment="1">
      <alignment horizontal="centerContinuous" vertical="center" wrapText="1"/>
    </xf>
    <xf numFmtId="17" fontId="10" fillId="2" borderId="8" xfId="68" applyNumberFormat="1" applyFont="1" applyFill="1" applyBorder="1" applyAlignment="1" applyProtection="1">
      <alignment horizontal="center" vertical="center"/>
      <protection locked="0"/>
    </xf>
    <xf numFmtId="0" fontId="10" fillId="2" borderId="8" xfId="68" applyFont="1" applyFill="1" applyBorder="1" applyAlignment="1">
      <alignment horizontal="center" vertical="center" wrapText="1"/>
    </xf>
    <xf numFmtId="4" fontId="10" fillId="2" borderId="8" xfId="68" applyNumberFormat="1" applyFont="1" applyFill="1" applyBorder="1" applyAlignment="1">
      <alignment horizontal="center" vertical="center" wrapText="1"/>
    </xf>
    <xf numFmtId="0" fontId="10" fillId="2" borderId="9" xfId="68" applyFont="1" applyFill="1" applyBorder="1" applyAlignment="1">
      <alignment horizontal="center" vertical="center"/>
    </xf>
    <xf numFmtId="0" fontId="10" fillId="2" borderId="11" xfId="68" applyFont="1" applyFill="1" applyBorder="1" applyAlignment="1">
      <alignment horizontal="center" vertical="center"/>
    </xf>
    <xf numFmtId="0" fontId="10" fillId="0" borderId="8" xfId="68" applyFont="1" applyBorder="1" applyAlignment="1">
      <alignment horizontal="center" vertical="center" wrapText="1"/>
    </xf>
    <xf numFmtId="4" fontId="10" fillId="0" borderId="8" xfId="68" applyNumberFormat="1" applyFont="1" applyBorder="1" applyAlignment="1">
      <alignment horizontal="center" vertical="center" wrapText="1"/>
    </xf>
    <xf numFmtId="0" fontId="11" fillId="0" borderId="8" xfId="68" applyFont="1" applyBorder="1" applyAlignment="1">
      <alignment horizontal="center" vertical="center"/>
    </xf>
    <xf numFmtId="49" fontId="10" fillId="3" borderId="8" xfId="68" applyNumberFormat="1" applyFont="1" applyFill="1" applyBorder="1" applyAlignment="1">
      <alignment horizontal="center" vertical="center" wrapText="1"/>
    </xf>
    <xf numFmtId="0" fontId="10" fillId="3" borderId="8" xfId="68" applyFont="1" applyFill="1" applyBorder="1" applyAlignment="1">
      <alignment horizontal="left" vertical="center" wrapText="1"/>
    </xf>
    <xf numFmtId="0" fontId="10" fillId="3" borderId="8" xfId="68" applyFont="1" applyFill="1" applyBorder="1" applyAlignment="1">
      <alignment horizontal="center" vertical="center" wrapText="1"/>
    </xf>
    <xf numFmtId="192" fontId="10" fillId="3" borderId="8" xfId="68" applyNumberFormat="1" applyFont="1" applyFill="1" applyBorder="1" applyAlignment="1">
      <alignment horizontal="center" vertical="center" wrapText="1"/>
    </xf>
    <xf numFmtId="4" fontId="10" fillId="3" borderId="8" xfId="68" applyNumberFormat="1" applyFont="1" applyFill="1" applyBorder="1" applyAlignment="1">
      <alignment horizontal="right" vertical="center" wrapText="1"/>
    </xf>
    <xf numFmtId="0" fontId="11" fillId="0" borderId="8" xfId="68" applyFont="1" applyBorder="1" applyAlignment="1">
      <alignment horizontal="center" vertical="center" wrapText="1"/>
    </xf>
    <xf numFmtId="0" fontId="11" fillId="0" borderId="8" xfId="68" applyFont="1" applyBorder="1" applyAlignment="1">
      <alignment vertical="center" wrapText="1"/>
    </xf>
    <xf numFmtId="2" fontId="11" fillId="0" borderId="8" xfId="68" applyNumberFormat="1" applyFont="1" applyBorder="1" applyAlignment="1">
      <alignment horizontal="center" vertical="center"/>
    </xf>
    <xf numFmtId="194" fontId="11" fillId="0" borderId="8" xfId="68" applyNumberFormat="1" applyFont="1" applyBorder="1">
      <alignment vertical="center"/>
    </xf>
    <xf numFmtId="194" fontId="11" fillId="0" borderId="8" xfId="9" applyNumberFormat="1" applyFont="1" applyBorder="1" applyAlignment="1" applyProtection="1">
      <alignment horizontal="right" vertical="center" wrapText="1"/>
    </xf>
    <xf numFmtId="192" fontId="11" fillId="0" borderId="8" xfId="68" applyNumberFormat="1" applyFont="1" applyBorder="1" applyAlignment="1">
      <alignment horizontal="center" vertical="center"/>
    </xf>
    <xf numFmtId="49" fontId="10" fillId="0" borderId="8" xfId="68" applyNumberFormat="1" applyFont="1" applyBorder="1" applyAlignment="1">
      <alignment horizontal="left" vertical="center" wrapText="1"/>
    </xf>
    <xf numFmtId="0" fontId="10" fillId="0" borderId="8" xfId="68" applyFont="1" applyBorder="1" applyAlignment="1">
      <alignment horizontal="right" vertical="center" wrapText="1"/>
    </xf>
    <xf numFmtId="192" fontId="10" fillId="0" borderId="8" xfId="68" applyNumberFormat="1" applyFont="1" applyBorder="1" applyAlignment="1">
      <alignment horizontal="center" vertical="center" wrapText="1"/>
    </xf>
    <xf numFmtId="4" fontId="10" fillId="0" borderId="8" xfId="68" applyNumberFormat="1" applyFont="1" applyBorder="1" applyAlignment="1">
      <alignment horizontal="right" vertical="center" wrapText="1"/>
    </xf>
    <xf numFmtId="177" fontId="10" fillId="0" borderId="8" xfId="9" applyFont="1" applyBorder="1" applyAlignment="1">
      <alignment horizontal="right" vertical="center" wrapText="1"/>
    </xf>
    <xf numFmtId="0" fontId="11" fillId="0" borderId="8" xfId="68" applyFont="1" applyBorder="1" applyAlignment="1" applyProtection="1">
      <alignment horizontal="center" vertical="center" wrapText="1"/>
      <protection locked="0"/>
    </xf>
    <xf numFmtId="177" fontId="11" fillId="0" borderId="8" xfId="9" applyFont="1" applyBorder="1" applyAlignment="1" applyProtection="1">
      <alignment horizontal="right" vertical="center" wrapText="1"/>
    </xf>
    <xf numFmtId="49" fontId="11" fillId="0" borderId="8" xfId="68" applyNumberFormat="1" applyFont="1" applyBorder="1" applyAlignment="1" applyProtection="1">
      <alignment horizontal="left" vertical="center" wrapText="1"/>
      <protection locked="0"/>
    </xf>
    <xf numFmtId="0" fontId="10" fillId="11" borderId="8" xfId="68" applyFont="1" applyFill="1" applyBorder="1" applyAlignment="1">
      <alignment horizontal="right" vertical="center" wrapText="1"/>
    </xf>
    <xf numFmtId="0" fontId="10" fillId="11" borderId="8" xfId="68" applyFont="1" applyFill="1" applyBorder="1" applyAlignment="1">
      <alignment horizontal="centerContinuous" vertical="center" wrapText="1"/>
    </xf>
    <xf numFmtId="177" fontId="10" fillId="11" borderId="8" xfId="9" applyFont="1" applyFill="1" applyBorder="1" applyAlignment="1">
      <alignment horizontal="right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194" fontId="0" fillId="0" borderId="0" xfId="0" applyNumberFormat="1" applyFont="1"/>
    <xf numFmtId="190" fontId="0" fillId="0" borderId="0" xfId="0" applyNumberFormat="1" applyFont="1"/>
    <xf numFmtId="195" fontId="11" fillId="0" borderId="8" xfId="68" applyNumberFormat="1" applyFont="1" applyBorder="1" applyAlignment="1">
      <alignment horizontal="center" vertical="center"/>
    </xf>
    <xf numFmtId="17" fontId="12" fillId="0" borderId="0" xfId="0" applyNumberFormat="1" applyFont="1"/>
    <xf numFmtId="196" fontId="11" fillId="0" borderId="8" xfId="68" applyNumberFormat="1" applyFont="1" applyBorder="1" applyAlignment="1">
      <alignment horizontal="center" vertical="center"/>
    </xf>
    <xf numFmtId="0" fontId="10" fillId="9" borderId="9" xfId="68" applyFont="1" applyFill="1" applyBorder="1" applyAlignment="1" applyProtection="1">
      <alignment horizontal="center" vertical="center" wrapText="1"/>
      <protection locked="0"/>
    </xf>
    <xf numFmtId="0" fontId="10" fillId="9" borderId="10" xfId="68" applyFont="1" applyFill="1" applyBorder="1" applyAlignment="1" applyProtection="1">
      <alignment horizontal="center" vertical="center" wrapText="1"/>
      <protection locked="0"/>
    </xf>
    <xf numFmtId="0" fontId="10" fillId="9" borderId="11" xfId="68" applyFont="1" applyFill="1" applyBorder="1" applyAlignment="1" applyProtection="1">
      <alignment horizontal="center" vertical="center" wrapText="1"/>
      <protection locked="0"/>
    </xf>
    <xf numFmtId="0" fontId="10" fillId="0" borderId="8" xfId="68" applyFont="1" applyBorder="1" applyAlignment="1">
      <alignment horizontal="centerContinuous" vertical="center" wrapText="1"/>
    </xf>
    <xf numFmtId="17" fontId="10" fillId="0" borderId="8" xfId="68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1" fillId="2" borderId="8" xfId="68" applyFont="1" applyFill="1" applyBorder="1" applyAlignment="1">
      <alignment horizontal="center" vertical="center"/>
    </xf>
    <xf numFmtId="194" fontId="11" fillId="2" borderId="8" xfId="68" applyNumberFormat="1" applyFont="1" applyFill="1" applyBorder="1">
      <alignment vertical="center"/>
    </xf>
    <xf numFmtId="194" fontId="11" fillId="2" borderId="8" xfId="9" applyNumberFormat="1" applyFont="1" applyFill="1" applyBorder="1" applyAlignment="1" applyProtection="1">
      <alignment horizontal="righ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17" fontId="10" fillId="0" borderId="8" xfId="68" applyNumberFormat="1" applyFont="1" applyBorder="1" applyAlignment="1" applyProtection="1">
      <alignment horizontal="center"/>
      <protection locked="0"/>
    </xf>
    <xf numFmtId="4" fontId="10" fillId="3" borderId="8" xfId="68" applyNumberFormat="1" applyFont="1" applyFill="1" applyBorder="1" applyAlignment="1">
      <alignment horizontal="right" wrapText="1"/>
    </xf>
    <xf numFmtId="4" fontId="11" fillId="0" borderId="8" xfId="68" applyNumberFormat="1" applyFont="1" applyBorder="1" applyAlignment="1">
      <alignment horizontal="center" vertical="center"/>
    </xf>
    <xf numFmtId="177" fontId="10" fillId="0" borderId="8" xfId="9" applyFont="1" applyBorder="1" applyAlignment="1">
      <alignment horizontal="right" wrapText="1"/>
    </xf>
    <xf numFmtId="177" fontId="10" fillId="11" borderId="8" xfId="9" applyFont="1" applyFill="1" applyBorder="1" applyAlignment="1">
      <alignment horizontal="right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0" fillId="12" borderId="8" xfId="68" applyFont="1" applyFill="1" applyBorder="1" applyAlignment="1">
      <alignment horizontal="center" vertical="center" wrapText="1"/>
    </xf>
    <xf numFmtId="4" fontId="10" fillId="12" borderId="8" xfId="68" applyNumberFormat="1" applyFont="1" applyFill="1" applyBorder="1" applyAlignment="1">
      <alignment horizontal="center" vertical="center" wrapText="1"/>
    </xf>
    <xf numFmtId="0" fontId="11" fillId="12" borderId="8" xfId="68" applyFont="1" applyFill="1" applyBorder="1" applyAlignment="1">
      <alignment horizontal="center" vertical="center"/>
    </xf>
    <xf numFmtId="49" fontId="10" fillId="12" borderId="8" xfId="68" applyNumberFormat="1" applyFont="1" applyFill="1" applyBorder="1" applyAlignment="1">
      <alignment horizontal="left" vertical="center" wrapText="1"/>
    </xf>
    <xf numFmtId="192" fontId="10" fillId="12" borderId="8" xfId="68" applyNumberFormat="1" applyFont="1" applyFill="1" applyBorder="1" applyAlignment="1">
      <alignment horizontal="center" vertical="center" wrapText="1"/>
    </xf>
    <xf numFmtId="4" fontId="10" fillId="12" borderId="8" xfId="68" applyNumberFormat="1" applyFont="1" applyFill="1" applyBorder="1" applyAlignment="1">
      <alignment horizontal="right" vertical="center" wrapText="1"/>
    </xf>
    <xf numFmtId="177" fontId="10" fillId="12" borderId="8" xfId="9" applyFont="1" applyFill="1" applyBorder="1" applyAlignment="1">
      <alignment horizontal="right" vertical="center" wrapText="1"/>
    </xf>
    <xf numFmtId="0" fontId="10" fillId="2" borderId="8" xfId="68" applyFont="1" applyFill="1" applyBorder="1" applyAlignment="1" applyProtection="1">
      <alignment horizontal="center" vertical="center" wrapText="1"/>
      <protection locked="0"/>
    </xf>
    <xf numFmtId="4" fontId="10" fillId="2" borderId="8" xfId="68" applyNumberFormat="1" applyFont="1" applyFill="1" applyBorder="1" applyAlignment="1" applyProtection="1">
      <alignment horizontal="center" vertical="center" wrapText="1"/>
      <protection locked="0"/>
    </xf>
    <xf numFmtId="0" fontId="10" fillId="2" borderId="8" xfId="68" applyFont="1" applyFill="1" applyBorder="1" applyAlignment="1">
      <alignment horizontal="centerContinuous" vertical="center"/>
    </xf>
    <xf numFmtId="0" fontId="10" fillId="2" borderId="8" xfId="68" applyFont="1" applyFill="1" applyBorder="1" applyAlignment="1">
      <alignment horizontal="right" vertical="center"/>
    </xf>
    <xf numFmtId="0" fontId="11" fillId="0" borderId="8" xfId="68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4" fontId="11" fillId="0" borderId="8" xfId="68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1" fillId="0" borderId="8" xfId="68" applyFont="1" applyBorder="1" applyAlignment="1">
      <alignment horizontal="left" vertical="center" wrapText="1"/>
    </xf>
    <xf numFmtId="0" fontId="1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4" fillId="4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4" fillId="4" borderId="8" xfId="0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center" vertical="center" wrapText="1"/>
    </xf>
    <xf numFmtId="182" fontId="4" fillId="4" borderId="8" xfId="74" applyFont="1" applyFill="1" applyBorder="1" applyAlignment="1" applyProtection="1">
      <alignment horizontal="center" vertical="center" wrapText="1"/>
    </xf>
    <xf numFmtId="197" fontId="4" fillId="13" borderId="8" xfId="0" applyNumberFormat="1" applyFont="1" applyFill="1" applyBorder="1" applyAlignment="1">
      <alignment horizontal="center" vertical="top"/>
    </xf>
    <xf numFmtId="0" fontId="15" fillId="13" borderId="8" xfId="0" applyFont="1" applyFill="1" applyBorder="1" applyAlignment="1">
      <alignment horizontal="justify" vertical="center" wrapText="1"/>
    </xf>
    <xf numFmtId="10" fontId="1" fillId="13" borderId="8" xfId="0" applyNumberFormat="1" applyFont="1" applyFill="1" applyBorder="1" applyAlignment="1">
      <alignment horizontal="center" vertical="center" wrapText="1"/>
    </xf>
    <xf numFmtId="4" fontId="1" fillId="13" borderId="8" xfId="0" applyNumberFormat="1" applyFont="1" applyFill="1" applyBorder="1" applyAlignment="1">
      <alignment horizontal="center" vertical="center" wrapText="1"/>
    </xf>
    <xf numFmtId="197" fontId="4" fillId="0" borderId="8" xfId="0" applyNumberFormat="1" applyFont="1" applyBorder="1" applyAlignment="1">
      <alignment horizontal="center" vertical="center"/>
    </xf>
    <xf numFmtId="190" fontId="4" fillId="0" borderId="8" xfId="0" applyNumberFormat="1" applyFont="1" applyBorder="1" applyAlignment="1">
      <alignment horizontal="left" vertical="center" wrapText="1"/>
    </xf>
    <xf numFmtId="10" fontId="1" fillId="14" borderId="8" xfId="4" applyNumberFormat="1" applyFont="1" applyFill="1" applyBorder="1" applyAlignment="1" applyProtection="1">
      <alignment horizontal="center" vertical="center"/>
    </xf>
    <xf numFmtId="4" fontId="1" fillId="0" borderId="8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91" fontId="1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197" fontId="4" fillId="0" borderId="8" xfId="0" applyNumberFormat="1" applyFont="1" applyBorder="1" applyAlignment="1">
      <alignment horizontal="center" vertical="top"/>
    </xf>
    <xf numFmtId="0" fontId="4" fillId="3" borderId="8" xfId="0" applyFont="1" applyFill="1" applyBorder="1" applyAlignment="1">
      <alignment horizontal="right" vertical="center" wrapText="1"/>
    </xf>
    <xf numFmtId="198" fontId="4" fillId="3" borderId="8" xfId="0" applyNumberFormat="1" applyFont="1" applyFill="1" applyBorder="1" applyAlignment="1">
      <alignment horizontal="center" vertical="center"/>
    </xf>
    <xf numFmtId="10" fontId="4" fillId="3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1" fillId="0" borderId="8" xfId="0" applyFont="1" applyBorder="1"/>
    <xf numFmtId="10" fontId="1" fillId="0" borderId="0" xfId="0" applyNumberFormat="1" applyFont="1"/>
    <xf numFmtId="9" fontId="4" fillId="3" borderId="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199" fontId="8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15" borderId="1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184" fontId="4" fillId="0" borderId="8" xfId="0" applyNumberFormat="1" applyFont="1" applyBorder="1" applyAlignment="1">
      <alignment horizontal="center" vertical="center" wrapText="1"/>
    </xf>
    <xf numFmtId="184" fontId="4" fillId="0" borderId="8" xfId="0" applyNumberFormat="1" applyFont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/>
    </xf>
    <xf numFmtId="0" fontId="4" fillId="15" borderId="8" xfId="0" applyFont="1" applyFill="1" applyBorder="1" applyAlignment="1">
      <alignment horizontal="center" vertical="center" wrapText="1"/>
    </xf>
    <xf numFmtId="199" fontId="4" fillId="15" borderId="8" xfId="0" applyNumberFormat="1" applyFont="1" applyFill="1" applyBorder="1" applyAlignment="1">
      <alignment horizontal="center" vertical="center"/>
    </xf>
    <xf numFmtId="199" fontId="4" fillId="15" borderId="8" xfId="0" applyNumberFormat="1" applyFont="1" applyFill="1" applyBorder="1" applyAlignment="1">
      <alignment horizontal="center" vertical="justify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199" fontId="1" fillId="2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99" fontId="1" fillId="0" borderId="8" xfId="0" applyNumberFormat="1" applyFont="1" applyBorder="1" applyAlignment="1">
      <alignment horizontal="center" vertical="center" wrapText="1"/>
    </xf>
    <xf numFmtId="190" fontId="1" fillId="2" borderId="8" xfId="0" applyNumberFormat="1" applyFont="1" applyFill="1" applyBorder="1" applyAlignment="1">
      <alignment horizontal="center" vertical="center" wrapText="1"/>
    </xf>
    <xf numFmtId="190" fontId="1" fillId="2" borderId="8" xfId="0" applyNumberFormat="1" applyFont="1" applyFill="1" applyBorder="1" applyAlignment="1">
      <alignment horizontal="left" vertical="center" wrapText="1"/>
    </xf>
    <xf numFmtId="190" fontId="1" fillId="0" borderId="8" xfId="0" applyNumberFormat="1" applyFont="1" applyBorder="1" applyAlignment="1">
      <alignment horizontal="center" vertical="center"/>
    </xf>
    <xf numFmtId="190" fontId="1" fillId="0" borderId="8" xfId="0" applyNumberFormat="1" applyFont="1" applyBorder="1" applyAlignment="1">
      <alignment horizontal="left" vertical="center"/>
    </xf>
    <xf numFmtId="199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190" fontId="1" fillId="0" borderId="8" xfId="0" applyNumberFormat="1" applyFont="1" applyBorder="1" applyAlignment="1">
      <alignment horizontal="left" vertical="center" wrapText="1"/>
    </xf>
    <xf numFmtId="200" fontId="1" fillId="0" borderId="8" xfId="0" applyNumberFormat="1" applyFont="1" applyBorder="1" applyAlignment="1">
      <alignment horizontal="center" vertical="center" wrapText="1"/>
    </xf>
    <xf numFmtId="201" fontId="1" fillId="2" borderId="8" xfId="0" applyNumberFormat="1" applyFont="1" applyFill="1" applyBorder="1" applyAlignment="1">
      <alignment horizontal="center" vertical="center" wrapText="1"/>
    </xf>
    <xf numFmtId="190" fontId="1" fillId="0" borderId="9" xfId="0" applyNumberFormat="1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202" fontId="10" fillId="2" borderId="8" xfId="0" applyNumberFormat="1" applyFont="1" applyFill="1" applyBorder="1" applyAlignment="1">
      <alignment horizontal="center" vertical="center" wrapText="1"/>
    </xf>
    <xf numFmtId="0" fontId="3" fillId="2" borderId="8" xfId="62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15" borderId="3" xfId="0" applyFont="1" applyFill="1" applyBorder="1" applyAlignment="1">
      <alignment horizontal="center" vertical="center"/>
    </xf>
    <xf numFmtId="184" fontId="4" fillId="0" borderId="8" xfId="0" applyNumberFormat="1" applyFont="1" applyFill="1" applyBorder="1" applyAlignment="1">
      <alignment horizontal="center" vertical="center" wrapText="1"/>
    </xf>
    <xf numFmtId="10" fontId="4" fillId="16" borderId="8" xfId="0" applyNumberFormat="1" applyFont="1" applyFill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4" fontId="8" fillId="0" borderId="0" xfId="0" applyNumberFormat="1" applyFont="1"/>
    <xf numFmtId="10" fontId="8" fillId="0" borderId="0" xfId="0" applyNumberFormat="1" applyFont="1"/>
    <xf numFmtId="10" fontId="17" fillId="0" borderId="0" xfId="4" applyNumberFormat="1"/>
    <xf numFmtId="193" fontId="1" fillId="0" borderId="11" xfId="0" applyNumberFormat="1" applyFont="1" applyBorder="1" applyAlignment="1">
      <alignment horizontal="center" vertical="center"/>
    </xf>
    <xf numFmtId="199" fontId="1" fillId="2" borderId="11" xfId="0" applyNumberFormat="1" applyFont="1" applyFill="1" applyBorder="1" applyAlignment="1">
      <alignment horizontal="center" vertical="center"/>
    </xf>
    <xf numFmtId="0" fontId="18" fillId="0" borderId="0" xfId="0" applyFont="1"/>
    <xf numFmtId="0" fontId="4" fillId="2" borderId="11" xfId="0" applyFont="1" applyFill="1" applyBorder="1" applyAlignment="1">
      <alignment horizontal="right" vertical="center"/>
    </xf>
    <xf numFmtId="199" fontId="3" fillId="2" borderId="8" xfId="0" applyNumberFormat="1" applyFont="1" applyFill="1" applyBorder="1" applyAlignment="1">
      <alignment horizontal="center" vertical="center"/>
    </xf>
    <xf numFmtId="203" fontId="18" fillId="0" borderId="0" xfId="0" applyNumberFormat="1" applyFont="1"/>
    <xf numFmtId="0" fontId="3" fillId="2" borderId="11" xfId="62" applyNumberFormat="1" applyFont="1" applyFill="1" applyBorder="1" applyAlignment="1" applyProtection="1">
      <alignment horizontal="center" vertical="center"/>
    </xf>
    <xf numFmtId="204" fontId="19" fillId="0" borderId="0" xfId="4" applyNumberFormat="1" applyFont="1" applyAlignment="1">
      <alignment horizontal="center" vertical="center"/>
    </xf>
    <xf numFmtId="193" fontId="19" fillId="0" borderId="0" xfId="4" applyNumberFormat="1" applyFont="1" applyAlignment="1">
      <alignment vertical="center"/>
    </xf>
    <xf numFmtId="0" fontId="20" fillId="10" borderId="0" xfId="0" applyFont="1" applyFill="1"/>
    <xf numFmtId="0" fontId="20" fillId="12" borderId="0" xfId="0" applyFont="1" applyFill="1"/>
    <xf numFmtId="0" fontId="20" fillId="0" borderId="0" xfId="0" applyFont="1"/>
    <xf numFmtId="190" fontId="21" fillId="0" borderId="14" xfId="0" applyNumberFormat="1" applyFont="1" applyBorder="1" applyAlignment="1">
      <alignment horizontal="center"/>
    </xf>
    <xf numFmtId="190" fontId="21" fillId="0" borderId="15" xfId="0" applyNumberFormat="1" applyFont="1" applyBorder="1" applyAlignment="1">
      <alignment horizontal="center"/>
    </xf>
    <xf numFmtId="190" fontId="21" fillId="0" borderId="16" xfId="0" applyNumberFormat="1" applyFont="1" applyBorder="1" applyAlignment="1">
      <alignment horizontal="center"/>
    </xf>
    <xf numFmtId="190" fontId="21" fillId="0" borderId="0" xfId="0" applyNumberFormat="1" applyFont="1" applyAlignment="1">
      <alignment horizontal="center"/>
    </xf>
    <xf numFmtId="190" fontId="21" fillId="0" borderId="16" xfId="0" applyNumberFormat="1" applyFont="1" applyBorder="1" applyAlignment="1">
      <alignment horizontal="center" vertical="center"/>
    </xf>
    <xf numFmtId="190" fontId="21" fillId="0" borderId="0" xfId="0" applyNumberFormat="1" applyFont="1" applyAlignment="1">
      <alignment horizontal="center" vertical="center"/>
    </xf>
    <xf numFmtId="190" fontId="21" fillId="0" borderId="17" xfId="0" applyNumberFormat="1" applyFont="1" applyBorder="1" applyAlignment="1">
      <alignment horizontal="center" vertical="center"/>
    </xf>
    <xf numFmtId="190" fontId="21" fillId="0" borderId="18" xfId="0" applyNumberFormat="1" applyFont="1" applyBorder="1" applyAlignment="1">
      <alignment horizontal="center" vertical="center"/>
    </xf>
    <xf numFmtId="190" fontId="21" fillId="0" borderId="19" xfId="0" applyNumberFormat="1" applyFont="1" applyBorder="1" applyAlignment="1">
      <alignment horizontal="center" vertical="distributed" wrapText="1"/>
    </xf>
    <xf numFmtId="190" fontId="21" fillId="0" borderId="20" xfId="0" applyNumberFormat="1" applyFont="1" applyBorder="1" applyAlignment="1">
      <alignment horizontal="right" vertical="center" wrapText="1"/>
    </xf>
    <xf numFmtId="0" fontId="22" fillId="0" borderId="20" xfId="0" applyFont="1" applyBorder="1" applyAlignment="1">
      <alignment horizontal="left" vertical="center"/>
    </xf>
    <xf numFmtId="190" fontId="23" fillId="17" borderId="20" xfId="0" applyNumberFormat="1" applyFont="1" applyFill="1" applyBorder="1" applyAlignment="1">
      <alignment horizontal="centerContinuous" vertical="center" wrapText="1"/>
    </xf>
    <xf numFmtId="0" fontId="23" fillId="17" borderId="20" xfId="0" applyFont="1" applyFill="1" applyBorder="1" applyAlignment="1">
      <alignment horizontal="centerContinuous" vertical="center" wrapText="1"/>
    </xf>
    <xf numFmtId="190" fontId="23" fillId="17" borderId="20" xfId="0" applyNumberFormat="1" applyFont="1" applyFill="1" applyBorder="1" applyAlignment="1">
      <alignment horizontal="center" vertical="center"/>
    </xf>
    <xf numFmtId="2" fontId="23" fillId="17" borderId="20" xfId="0" applyNumberFormat="1" applyFont="1" applyFill="1" applyBorder="1" applyAlignment="1">
      <alignment horizontal="center" vertical="center" wrapText="1"/>
    </xf>
    <xf numFmtId="190" fontId="23" fillId="0" borderId="20" xfId="70" applyNumberFormat="1" applyFont="1" applyBorder="1" applyAlignment="1">
      <alignment horizontal="center" vertical="center"/>
    </xf>
    <xf numFmtId="0" fontId="23" fillId="0" borderId="20" xfId="70" applyFont="1" applyBorder="1" applyAlignment="1">
      <alignment horizontal="justify" vertical="center"/>
    </xf>
    <xf numFmtId="190" fontId="23" fillId="0" borderId="20" xfId="70" applyNumberFormat="1" applyFont="1" applyBorder="1" applyAlignment="1">
      <alignment horizontal="center" vertical="center" wrapText="1"/>
    </xf>
    <xf numFmtId="2" fontId="23" fillId="0" borderId="20" xfId="1" applyNumberFormat="1" applyFont="1" applyFill="1" applyBorder="1" applyAlignment="1" applyProtection="1">
      <alignment horizontal="center" vertical="center"/>
    </xf>
    <xf numFmtId="2" fontId="23" fillId="0" borderId="20" xfId="1" applyNumberFormat="1" applyFont="1" applyFill="1" applyBorder="1" applyAlignment="1" applyProtection="1">
      <alignment horizontal="center" vertical="center" wrapText="1"/>
    </xf>
    <xf numFmtId="190" fontId="23" fillId="18" borderId="20" xfId="70" applyNumberFormat="1" applyFont="1" applyFill="1" applyBorder="1" applyAlignment="1">
      <alignment horizontal="center" vertical="center"/>
    </xf>
    <xf numFmtId="190" fontId="23" fillId="18" borderId="20" xfId="70" applyNumberFormat="1" applyFont="1" applyFill="1" applyBorder="1" applyAlignment="1">
      <alignment horizontal="left" vertical="center"/>
    </xf>
    <xf numFmtId="0" fontId="23" fillId="18" borderId="20" xfId="70" applyFont="1" applyFill="1" applyBorder="1" applyAlignment="1">
      <alignment horizontal="left" vertical="center"/>
    </xf>
    <xf numFmtId="190" fontId="23" fillId="18" borderId="20" xfId="70" applyNumberFormat="1" applyFont="1" applyFill="1" applyBorder="1" applyAlignment="1">
      <alignment horizontal="left" vertical="center" wrapText="1"/>
    </xf>
    <xf numFmtId="2" fontId="23" fillId="18" borderId="20" xfId="1" applyNumberFormat="1" applyFont="1" applyFill="1" applyBorder="1" applyAlignment="1" applyProtection="1">
      <alignment horizontal="center" vertical="center"/>
    </xf>
    <xf numFmtId="2" fontId="23" fillId="18" borderId="20" xfId="1" applyNumberFormat="1" applyFont="1" applyFill="1" applyBorder="1" applyAlignment="1" applyProtection="1">
      <alignment horizontal="left" vertical="center"/>
    </xf>
    <xf numFmtId="190" fontId="22" fillId="0" borderId="20" xfId="7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190" fontId="22" fillId="0" borderId="20" xfId="70" applyNumberFormat="1" applyFont="1" applyBorder="1" applyAlignment="1">
      <alignment vertical="center" wrapText="1"/>
    </xf>
    <xf numFmtId="2" fontId="22" fillId="0" borderId="20" xfId="1" applyNumberFormat="1" applyFont="1" applyFill="1" applyBorder="1" applyAlignment="1" applyProtection="1">
      <alignment horizontal="center" vertical="center"/>
    </xf>
    <xf numFmtId="0" fontId="22" fillId="0" borderId="20" xfId="0" applyFont="1" applyBorder="1" applyAlignment="1">
      <alignment horizontal="left" vertical="center" wrapText="1"/>
    </xf>
    <xf numFmtId="190" fontId="22" fillId="0" borderId="20" xfId="70" applyNumberFormat="1" applyFont="1" applyBorder="1" applyAlignment="1">
      <alignment horizontal="center" vertical="center" wrapText="1"/>
    </xf>
    <xf numFmtId="2" fontId="22" fillId="0" borderId="20" xfId="9" applyNumberFormat="1" applyFont="1" applyBorder="1" applyAlignment="1" applyProtection="1">
      <alignment horizontal="center" vertical="center" wrapText="1"/>
    </xf>
    <xf numFmtId="190" fontId="23" fillId="18" borderId="20" xfId="70" applyNumberFormat="1" applyFont="1" applyFill="1" applyBorder="1" applyAlignment="1">
      <alignment vertical="center"/>
    </xf>
    <xf numFmtId="190" fontId="22" fillId="0" borderId="20" xfId="70" applyNumberFormat="1" applyFont="1" applyBorder="1" applyAlignment="1">
      <alignment horizontal="righ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 wrapText="1"/>
    </xf>
    <xf numFmtId="190" fontId="23" fillId="0" borderId="20" xfId="70" applyNumberFormat="1" applyFont="1" applyBorder="1" applyAlignment="1">
      <alignment vertical="center" wrapText="1"/>
    </xf>
    <xf numFmtId="190" fontId="21" fillId="0" borderId="21" xfId="0" applyNumberFormat="1" applyFont="1" applyBorder="1" applyAlignment="1">
      <alignment horizontal="center"/>
    </xf>
    <xf numFmtId="190" fontId="21" fillId="0" borderId="22" xfId="0" applyNumberFormat="1" applyFont="1" applyBorder="1" applyAlignment="1">
      <alignment horizontal="center"/>
    </xf>
    <xf numFmtId="190" fontId="21" fillId="0" borderId="22" xfId="0" applyNumberFormat="1" applyFont="1" applyBorder="1" applyAlignment="1">
      <alignment horizontal="center" vertical="center"/>
    </xf>
    <xf numFmtId="190" fontId="21" fillId="0" borderId="23" xfId="0" applyNumberFormat="1" applyFont="1" applyBorder="1" applyAlignment="1">
      <alignment horizontal="center" vertical="center"/>
    </xf>
    <xf numFmtId="195" fontId="23" fillId="17" borderId="20" xfId="0" applyNumberFormat="1" applyFont="1" applyFill="1" applyBorder="1" applyAlignment="1">
      <alignment horizontal="center" vertical="center" wrapText="1"/>
    </xf>
    <xf numFmtId="195" fontId="23" fillId="0" borderId="20" xfId="1" applyNumberFormat="1" applyFont="1" applyFill="1" applyBorder="1" applyAlignment="1" applyProtection="1">
      <alignment horizontal="center" vertical="center" wrapText="1"/>
    </xf>
    <xf numFmtId="2" fontId="23" fillId="18" borderId="20" xfId="1" applyNumberFormat="1" applyFont="1" applyFill="1" applyBorder="1" applyAlignment="1" applyProtection="1">
      <alignment horizontal="left" vertical="center" wrapText="1"/>
    </xf>
    <xf numFmtId="195" fontId="23" fillId="18" borderId="20" xfId="1" applyNumberFormat="1" applyFont="1" applyFill="1" applyBorder="1" applyAlignment="1" applyProtection="1">
      <alignment horizontal="left" vertical="center" wrapText="1"/>
    </xf>
    <xf numFmtId="2" fontId="22" fillId="0" borderId="20" xfId="4" applyNumberFormat="1" applyFont="1" applyBorder="1" applyAlignment="1" applyProtection="1">
      <alignment horizontal="center" vertical="center"/>
    </xf>
    <xf numFmtId="195" fontId="22" fillId="0" borderId="20" xfId="4" applyNumberFormat="1" applyFont="1" applyBorder="1" applyAlignment="1" applyProtection="1">
      <alignment horizontal="center" vertical="center"/>
    </xf>
    <xf numFmtId="195" fontId="22" fillId="0" borderId="20" xfId="9" applyNumberFormat="1" applyFont="1" applyBorder="1" applyAlignment="1" applyProtection="1">
      <alignment horizontal="center" vertical="center" wrapText="1"/>
    </xf>
    <xf numFmtId="196" fontId="22" fillId="0" borderId="20" xfId="9" applyNumberFormat="1" applyFont="1" applyBorder="1" applyAlignment="1" applyProtection="1">
      <alignment horizontal="center" vertical="center" wrapText="1"/>
    </xf>
    <xf numFmtId="9" fontId="11" fillId="0" borderId="20" xfId="4" applyFont="1" applyBorder="1" applyAlignment="1">
      <alignment horizontal="center" vertical="center" wrapText="1"/>
    </xf>
    <xf numFmtId="9" fontId="11" fillId="0" borderId="20" xfId="4" applyFont="1" applyBorder="1" applyAlignment="1" applyProtection="1">
      <alignment horizontal="center" vertical="center"/>
    </xf>
    <xf numFmtId="9" fontId="11" fillId="0" borderId="20" xfId="4" applyFont="1" applyBorder="1" applyAlignment="1" applyProtection="1">
      <alignment horizontal="center" vertical="center" wrapText="1"/>
    </xf>
    <xf numFmtId="9" fontId="11" fillId="0" borderId="0" xfId="4" applyFont="1"/>
    <xf numFmtId="195" fontId="20" fillId="0" borderId="0" xfId="0" applyNumberFormat="1" applyFont="1"/>
    <xf numFmtId="0" fontId="20" fillId="0" borderId="0" xfId="0" applyFont="1" applyAlignment="1">
      <alignment wrapText="1"/>
    </xf>
    <xf numFmtId="190" fontId="22" fillId="0" borderId="20" xfId="70" applyNumberFormat="1" applyFont="1" applyFill="1" applyBorder="1" applyAlignment="1">
      <alignment horizontal="center" vertical="center"/>
    </xf>
    <xf numFmtId="0" fontId="22" fillId="0" borderId="20" xfId="70" applyFont="1" applyFill="1" applyBorder="1" applyAlignment="1">
      <alignment horizontal="center" vertical="center"/>
    </xf>
    <xf numFmtId="190" fontId="22" fillId="0" borderId="20" xfId="70" applyNumberFormat="1" applyFont="1" applyFill="1" applyBorder="1" applyAlignment="1">
      <alignment vertical="center" wrapText="1"/>
    </xf>
    <xf numFmtId="0" fontId="22" fillId="0" borderId="20" xfId="70" applyFont="1" applyBorder="1" applyAlignment="1">
      <alignment horizontal="center" vertical="center"/>
    </xf>
    <xf numFmtId="196" fontId="22" fillId="0" borderId="20" xfId="1" applyNumberFormat="1" applyFont="1" applyFill="1" applyBorder="1" applyAlignment="1" applyProtection="1">
      <alignment horizontal="center" vertical="center"/>
    </xf>
    <xf numFmtId="9" fontId="8" fillId="0" borderId="20" xfId="4" applyFont="1" applyBorder="1" applyAlignment="1" applyProtection="1">
      <alignment horizontal="center" vertical="center" wrapText="1"/>
    </xf>
    <xf numFmtId="0" fontId="22" fillId="0" borderId="20" xfId="70" applyFont="1" applyBorder="1" applyAlignment="1">
      <alignment horizontal="center" vertical="center" wrapText="1"/>
    </xf>
    <xf numFmtId="2" fontId="22" fillId="0" borderId="20" xfId="70" applyNumberFormat="1" applyFont="1" applyBorder="1" applyAlignment="1">
      <alignment horizontal="center" vertical="center" wrapText="1"/>
    </xf>
    <xf numFmtId="0" fontId="23" fillId="18" borderId="20" xfId="70" applyFont="1" applyFill="1" applyBorder="1" applyAlignment="1">
      <alignment vertical="center"/>
    </xf>
    <xf numFmtId="190" fontId="23" fillId="0" borderId="20" xfId="70" applyNumberFormat="1" applyFont="1" applyBorder="1" applyAlignment="1">
      <alignment horizontal="left" vertical="center"/>
    </xf>
    <xf numFmtId="190" fontId="23" fillId="0" borderId="20" xfId="70" applyNumberFormat="1" applyFont="1" applyBorder="1" applyAlignment="1">
      <alignment vertical="center"/>
    </xf>
    <xf numFmtId="0" fontId="8" fillId="0" borderId="20" xfId="4" applyNumberFormat="1" applyFont="1" applyBorder="1" applyAlignment="1" applyProtection="1">
      <alignment horizontal="center" vertical="center" wrapText="1"/>
    </xf>
    <xf numFmtId="0" fontId="22" fillId="0" borderId="20" xfId="70" applyFont="1" applyBorder="1" applyAlignment="1">
      <alignment vertical="center" wrapText="1"/>
    </xf>
    <xf numFmtId="0" fontId="22" fillId="0" borderId="20" xfId="1" applyNumberFormat="1" applyFont="1" applyFill="1" applyBorder="1" applyAlignment="1" applyProtection="1">
      <alignment horizontal="center" vertical="center"/>
    </xf>
    <xf numFmtId="0" fontId="20" fillId="0" borderId="20" xfId="0" applyFont="1" applyBorder="1"/>
    <xf numFmtId="0" fontId="23" fillId="18" borderId="20" xfId="70" applyNumberFormat="1" applyFont="1" applyFill="1" applyBorder="1" applyAlignment="1">
      <alignment horizontal="center" vertical="center"/>
    </xf>
    <xf numFmtId="0" fontId="23" fillId="12" borderId="20" xfId="70" applyNumberFormat="1" applyFont="1" applyFill="1" applyBorder="1" applyAlignment="1">
      <alignment horizontal="center" vertical="center"/>
    </xf>
    <xf numFmtId="190" fontId="23" fillId="12" borderId="20" xfId="70" applyNumberFormat="1" applyFont="1" applyFill="1" applyBorder="1" applyAlignment="1">
      <alignment vertical="center"/>
    </xf>
    <xf numFmtId="190" fontId="23" fillId="12" borderId="20" xfId="70" applyNumberFormat="1" applyFont="1" applyFill="1" applyBorder="1" applyAlignment="1">
      <alignment horizontal="center" vertical="center"/>
    </xf>
    <xf numFmtId="0" fontId="1" fillId="0" borderId="20" xfId="4" applyNumberFormat="1" applyFont="1" applyBorder="1" applyAlignment="1" applyProtection="1">
      <alignment horizontal="center" vertical="center" wrapText="1"/>
    </xf>
    <xf numFmtId="0" fontId="8" fillId="3" borderId="0" xfId="0" applyFont="1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15" borderId="9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84" fontId="4" fillId="0" borderId="9" xfId="0" applyNumberFormat="1" applyFont="1" applyBorder="1" applyAlignment="1">
      <alignment horizontal="center" vertical="center" wrapText="1"/>
    </xf>
    <xf numFmtId="190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190" fontId="3" fillId="3" borderId="8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center" wrapText="1"/>
    </xf>
    <xf numFmtId="199" fontId="1" fillId="3" borderId="8" xfId="0" applyNumberFormat="1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vertical="top" wrapText="1"/>
    </xf>
    <xf numFmtId="190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190" fontId="4" fillId="3" borderId="8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191" fontId="1" fillId="3" borderId="8" xfId="0" applyNumberFormat="1" applyFont="1" applyFill="1" applyBorder="1" applyAlignment="1">
      <alignment horizontal="center" vertical="center"/>
    </xf>
    <xf numFmtId="199" fontId="1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90" fontId="4" fillId="3" borderId="8" xfId="0" applyNumberFormat="1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1" fillId="0" borderId="0" xfId="0" applyFont="1"/>
    <xf numFmtId="0" fontId="3" fillId="0" borderId="13" xfId="0" applyFont="1" applyBorder="1" applyAlignment="1">
      <alignment horizontal="center" vertical="top"/>
    </xf>
    <xf numFmtId="0" fontId="3" fillId="15" borderId="11" xfId="0" applyFont="1" applyFill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 wrapText="1"/>
    </xf>
    <xf numFmtId="10" fontId="11" fillId="14" borderId="0" xfId="0" applyNumberFormat="1" applyFont="1" applyFill="1" applyAlignment="1">
      <alignment horizontal="center" vertical="center"/>
    </xf>
    <xf numFmtId="10" fontId="4" fillId="16" borderId="8" xfId="0" applyNumberFormat="1" applyFont="1" applyFill="1" applyBorder="1" applyAlignment="1">
      <alignment horizontal="center" vertical="center"/>
    </xf>
    <xf numFmtId="191" fontId="4" fillId="19" borderId="0" xfId="0" applyNumberFormat="1" applyFont="1" applyFill="1" applyAlignment="1">
      <alignment vertical="center"/>
    </xf>
    <xf numFmtId="178" fontId="4" fillId="0" borderId="9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99" fontId="4" fillId="3" borderId="8" xfId="0" applyNumberFormat="1" applyFont="1" applyFill="1" applyBorder="1" applyAlignment="1">
      <alignment horizontal="center" vertical="center"/>
    </xf>
    <xf numFmtId="199" fontId="3" fillId="3" borderId="8" xfId="0" applyNumberFormat="1" applyFont="1" applyFill="1" applyBorder="1" applyAlignment="1">
      <alignment horizontal="center" vertical="center"/>
    </xf>
    <xf numFmtId="10" fontId="11" fillId="3" borderId="0" xfId="0" applyNumberFormat="1" applyFont="1" applyFill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99" fontId="1" fillId="3" borderId="8" xfId="0" applyNumberFormat="1" applyFont="1" applyFill="1" applyBorder="1" applyAlignment="1">
      <alignment vertical="center"/>
    </xf>
    <xf numFmtId="199" fontId="11" fillId="0" borderId="0" xfId="0" applyNumberFormat="1" applyFont="1" applyAlignment="1">
      <alignment horizontal="center" vertical="center"/>
    </xf>
    <xf numFmtId="188" fontId="8" fillId="0" borderId="0" xfId="0" applyNumberFormat="1" applyFont="1"/>
    <xf numFmtId="0" fontId="1" fillId="0" borderId="0" xfId="0" applyFont="1" applyAlignment="1">
      <alignment vertical="center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2" fillId="0" borderId="0" xfId="0" applyFont="1" applyAlignment="1">
      <alignment horizontal="center" vertical="top"/>
    </xf>
    <xf numFmtId="0" fontId="2" fillId="4" borderId="8" xfId="0" applyFont="1" applyFill="1" applyBorder="1" applyAlignment="1">
      <alignment horizontal="center" vertical="center"/>
    </xf>
    <xf numFmtId="0" fontId="4" fillId="20" borderId="8" xfId="0" applyFont="1" applyFill="1" applyBorder="1" applyAlignment="1">
      <alignment horizontal="center" vertical="center" wrapText="1"/>
    </xf>
    <xf numFmtId="10" fontId="4" fillId="20" borderId="8" xfId="0" applyNumberFormat="1" applyFont="1" applyFill="1" applyBorder="1" applyAlignment="1">
      <alignment horizontal="center" vertical="center"/>
    </xf>
    <xf numFmtId="0" fontId="3" fillId="6" borderId="8" xfId="70" applyFont="1" applyFill="1" applyBorder="1" applyAlignment="1">
      <alignment horizontal="center" vertical="center" wrapText="1"/>
    </xf>
    <xf numFmtId="190" fontId="3" fillId="6" borderId="8" xfId="70" applyNumberFormat="1" applyFont="1" applyFill="1" applyBorder="1" applyAlignment="1">
      <alignment horizontal="left" vertical="center" wrapText="1"/>
    </xf>
    <xf numFmtId="0" fontId="3" fillId="6" borderId="8" xfId="70" applyFont="1" applyFill="1" applyBorder="1" applyAlignment="1">
      <alignment horizontal="left" vertical="center" wrapText="1"/>
    </xf>
    <xf numFmtId="176" fontId="3" fillId="6" borderId="8" xfId="7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4" fillId="3" borderId="0" xfId="0" applyFont="1" applyFill="1"/>
    <xf numFmtId="0" fontId="11" fillId="0" borderId="8" xfId="68" applyFont="1" applyBorder="1" applyAlignment="1" quotePrefix="1">
      <alignment horizontal="center" vertical="center"/>
    </xf>
  </cellXfs>
  <cellStyles count="82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eading 2 13" xfId="11"/>
    <cellStyle name="Hyperlink" xfId="12" builtinId="8"/>
    <cellStyle name="Observação" xfId="13" builtinId="10"/>
    <cellStyle name="40% - Ênfase 2" xfId="14" builtinId="35"/>
    <cellStyle name="40% - Ênfase 6" xfId="15" builtinId="51"/>
    <cellStyle name="Texto de Aviso" xfId="16" builtinId="11"/>
    <cellStyle name="Título" xfId="17" builtinId="15"/>
    <cellStyle name="Accent 1 5" xfId="18"/>
    <cellStyle name="Texto Explicativo" xfId="19" builtinId="53"/>
    <cellStyle name="Título 1" xfId="20" builtinId="16"/>
    <cellStyle name="Ênfase 3" xfId="21" builtinId="37"/>
    <cellStyle name="Título 2" xfId="22" builtinId="17"/>
    <cellStyle name="Ênfase 4" xfId="23" builtinId="41"/>
    <cellStyle name="Título 3" xfId="24" builtinId="18"/>
    <cellStyle name="Ênfase 5" xfId="25" builtinId="45"/>
    <cellStyle name="Título 4" xfId="26" builtinId="19"/>
    <cellStyle name="Ênfase 6" xfId="27" builtinId="49"/>
    <cellStyle name="Entrada" xfId="28" builtinId="20"/>
    <cellStyle name="Saída" xfId="29" builtinId="21"/>
    <cellStyle name="Cálculo" xfId="30" builtinId="22"/>
    <cellStyle name="Total" xfId="31" builtinId="25"/>
    <cellStyle name="40% - Ênfase 1" xfId="32" builtinId="31"/>
    <cellStyle name="Bom" xfId="33" builtinId="26"/>
    <cellStyle name="Ruim" xfId="34" builtinId="27"/>
    <cellStyle name="Neutro" xfId="35" builtinId="28"/>
    <cellStyle name="20% - Ênfase 5" xfId="36" builtinId="46"/>
    <cellStyle name="Ênfase 1" xfId="37" builtinId="29"/>
    <cellStyle name="20% - Ênfase 1" xfId="38" builtinId="30"/>
    <cellStyle name="60% - Ênfase 1" xfId="39" builtinId="32"/>
    <cellStyle name="20% - Ênfase 6" xfId="40" builtinId="50"/>
    <cellStyle name="Ênfase 2" xfId="41" builtinId="33"/>
    <cellStyle name="Neutral 15" xfId="42"/>
    <cellStyle name="20% - Ênfase 2" xfId="43" builtinId="34"/>
    <cellStyle name="60% - Ênfase 2" xfId="44" builtinId="36"/>
    <cellStyle name="40% - Ênfase 3" xfId="45" builtinId="39"/>
    <cellStyle name="60% - Ênfase 3" xfId="46" builtinId="40"/>
    <cellStyle name="20% - Ênfase 4" xfId="47" builtinId="42"/>
    <cellStyle name="Footnote 10" xfId="48"/>
    <cellStyle name="Hyperlink 14" xfId="49"/>
    <cellStyle name="60% - Ênfase 4" xfId="50" builtinId="44"/>
    <cellStyle name="40% - Ênfase 5" xfId="51" builtinId="47"/>
    <cellStyle name="60% - Ênfase 5" xfId="52" builtinId="48"/>
    <cellStyle name="Normal 13" xfId="53"/>
    <cellStyle name="60% - Ênfase 6" xfId="54" builtinId="52"/>
    <cellStyle name="Accent 2 6" xfId="55"/>
    <cellStyle name="Estilo 2" xfId="56"/>
    <cellStyle name="Accent 3 7" xfId="57"/>
    <cellStyle name="Heading 1 12" xfId="58"/>
    <cellStyle name="Accent 4" xfId="59"/>
    <cellStyle name="Bad 8" xfId="60"/>
    <cellStyle name="Error 9" xfId="61"/>
    <cellStyle name="Estilo 4" xfId="62"/>
    <cellStyle name="Good 11" xfId="63"/>
    <cellStyle name="Normal 2 10" xfId="64"/>
    <cellStyle name="Normal 2 3" xfId="65"/>
    <cellStyle name="Normal 2 3 2" xfId="66"/>
    <cellStyle name="Normal 2 7" xfId="67"/>
    <cellStyle name="Normal 3" xfId="68"/>
    <cellStyle name="Normal 32" xfId="69"/>
    <cellStyle name="Normal 4" xfId="70"/>
    <cellStyle name="Note 16" xfId="71"/>
    <cellStyle name="Separador de milhares 12 10 11" xfId="72"/>
    <cellStyle name="Separador de milhares 12 66 10" xfId="73"/>
    <cellStyle name="Separador de milhares 2" xfId="74"/>
    <cellStyle name="Separador de milhares 2 3 10" xfId="75"/>
    <cellStyle name="Separador de milhares 3 66 3" xfId="76"/>
    <cellStyle name="Status 17" xfId="77"/>
    <cellStyle name="Text 18" xfId="78"/>
    <cellStyle name="Vírgula 15 2" xfId="79"/>
    <cellStyle name="Vírgula 2" xfId="80"/>
    <cellStyle name="Warning 19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FBFBF"/>
      <rgbColor rgb="00808080"/>
      <rgbColor rgb="009999FF"/>
      <rgbColor rgb="00993366"/>
      <rgbColor rgb="00FFFFCC"/>
      <rgbColor rgb="00DDD9C3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2117725</xdr:colOff>
      <xdr:row>0</xdr:row>
      <xdr:rowOff>114935</xdr:rowOff>
    </xdr:from>
    <xdr:to>
      <xdr:col>4</xdr:col>
      <xdr:colOff>554355</xdr:colOff>
      <xdr:row>0</xdr:row>
      <xdr:rowOff>871855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730625" y="114935"/>
          <a:ext cx="1973580" cy="7569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2803525</xdr:colOff>
      <xdr:row>1</xdr:row>
      <xdr:rowOff>41910</xdr:rowOff>
    </xdr:from>
    <xdr:to>
      <xdr:col>4</xdr:col>
      <xdr:colOff>5556885</xdr:colOff>
      <xdr:row>1</xdr:row>
      <xdr:rowOff>1061720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036945" y="232410"/>
          <a:ext cx="2753360" cy="10198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68580</xdr:colOff>
      <xdr:row>0</xdr:row>
      <xdr:rowOff>109855</xdr:rowOff>
    </xdr:from>
    <xdr:to>
      <xdr:col>2</xdr:col>
      <xdr:colOff>980440</xdr:colOff>
      <xdr:row>3</xdr:row>
      <xdr:rowOff>371475</xdr:rowOff>
    </xdr:to>
    <xdr:pic>
      <xdr:nvPicPr>
        <xdr:cNvPr id="3" name="Imagem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" y="109855"/>
          <a:ext cx="2921000" cy="10579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3561715</xdr:colOff>
      <xdr:row>1</xdr:row>
      <xdr:rowOff>118745</xdr:rowOff>
    </xdr:from>
    <xdr:to>
      <xdr:col>5</xdr:col>
      <xdr:colOff>193675</xdr:colOff>
      <xdr:row>1</xdr:row>
      <xdr:rowOff>1138555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795135" y="309245"/>
          <a:ext cx="2753360" cy="10198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86995</xdr:colOff>
      <xdr:row>0</xdr:row>
      <xdr:rowOff>86995</xdr:rowOff>
    </xdr:from>
    <xdr:to>
      <xdr:col>7</xdr:col>
      <xdr:colOff>40216</xdr:colOff>
      <xdr:row>0</xdr:row>
      <xdr:rowOff>739775</xdr:rowOff>
    </xdr:to>
    <xdr:pic>
      <xdr:nvPicPr>
        <xdr:cNvPr id="4" name="Imagem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4403090" y="86995"/>
          <a:ext cx="2219960" cy="6527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942975</xdr:colOff>
      <xdr:row>0</xdr:row>
      <xdr:rowOff>95250</xdr:rowOff>
    </xdr:from>
    <xdr:to>
      <xdr:col>2</xdr:col>
      <xdr:colOff>2572385</xdr:colOff>
      <xdr:row>0</xdr:row>
      <xdr:rowOff>713740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105150" y="95250"/>
          <a:ext cx="1629410" cy="6184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266700</xdr:colOff>
      <xdr:row>0</xdr:row>
      <xdr:rowOff>133350</xdr:rowOff>
    </xdr:from>
    <xdr:to>
      <xdr:col>2</xdr:col>
      <xdr:colOff>523875</xdr:colOff>
      <xdr:row>0</xdr:row>
      <xdr:rowOff>838200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33600" y="133350"/>
          <a:ext cx="1838325" cy="704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714375</xdr:colOff>
      <xdr:row>0</xdr:row>
      <xdr:rowOff>114935</xdr:rowOff>
    </xdr:from>
    <xdr:to>
      <xdr:col>5</xdr:col>
      <xdr:colOff>133350</xdr:colOff>
      <xdr:row>0</xdr:row>
      <xdr:rowOff>763270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00375" y="114935"/>
          <a:ext cx="1831975" cy="648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488315</xdr:colOff>
      <xdr:row>6</xdr:row>
      <xdr:rowOff>93345</xdr:rowOff>
    </xdr:from>
    <xdr:to>
      <xdr:col>7</xdr:col>
      <xdr:colOff>72390</xdr:colOff>
      <xdr:row>7</xdr:row>
      <xdr:rowOff>3746500</xdr:rowOff>
    </xdr:to>
    <xdr:pic>
      <xdr:nvPicPr>
        <xdr:cNvPr id="3" name="Imagem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" y="3293745"/>
          <a:ext cx="6226175" cy="88480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Huannig Fook\Desktop\Muro de Arrimo\PREG&#195;O\SEM ATERRO CONTROLADO\Entregue\Conten&#231;&#227;o Rua Gilberto Vieigas 15d12m2022a\Modifica&#231;&#245;es solicitados por Cris\Muro de conten&#231;&#227;o_final\OR&#199;AMENTO\OR&#199;AMENTO DESONER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Orçamento"/>
      <sheetName val="BDI"/>
      <sheetName val="Projeto Básico"/>
      <sheetName val="Memória Quantitativos"/>
      <sheetName val="CRONOGRAMA"/>
      <sheetName val="CURVA ABC"/>
      <sheetName val="BDI%"/>
      <sheetName val="CP-01"/>
      <sheetName val="CP-02"/>
      <sheetName val="CP-03"/>
      <sheetName val="CP-04"/>
      <sheetName val="CP-05"/>
      <sheetName val="CP-06"/>
      <sheetName val="CP-07"/>
      <sheetName val="CP-08"/>
      <sheetName val="CP-09"/>
      <sheetName val="CP-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B13">
            <v>1.1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paineldeprecos.planejamento.gov.br/" TargetMode="Externa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K33"/>
  <sheetViews>
    <sheetView view="pageBreakPreview" zoomScale="77" zoomScaleNormal="100" topLeftCell="A18" workbookViewId="0">
      <selection activeCell="C32" sqref="C32:H32"/>
    </sheetView>
  </sheetViews>
  <sheetFormatPr defaultColWidth="10.6666666666667" defaultRowHeight="15.75"/>
  <cols>
    <col min="1" max="1" width="8.22222222222222" style="3" customWidth="1"/>
    <col min="2" max="2" width="20" style="3" customWidth="1"/>
    <col min="3" max="3" width="52.3333333333333" style="3" customWidth="1"/>
    <col min="4" max="4" width="9.55555555555556" style="3" customWidth="1"/>
    <col min="5" max="5" width="14.5555555555556" style="4" customWidth="1"/>
    <col min="6" max="6" width="19" style="5" customWidth="1"/>
    <col min="7" max="7" width="18.2222222222222" style="5" customWidth="1"/>
    <col min="8" max="8" width="24.5555555555556" style="5" customWidth="1"/>
    <col min="9" max="1025" width="10.6666666666667" style="3"/>
  </cols>
  <sheetData>
    <row r="1" ht="91.05" customHeight="1" spans="1:8">
      <c r="A1" s="6" t="s">
        <v>0</v>
      </c>
      <c r="B1" s="7"/>
      <c r="C1" s="7"/>
      <c r="D1" s="7"/>
      <c r="E1" s="7"/>
      <c r="F1" s="7"/>
      <c r="G1" s="7"/>
      <c r="H1" s="8"/>
    </row>
    <row r="2" ht="36" customHeight="1" spans="1:8">
      <c r="A2" s="160" t="s">
        <v>1</v>
      </c>
      <c r="B2" s="381"/>
      <c r="C2" s="381"/>
      <c r="D2" s="381"/>
      <c r="E2" s="381"/>
      <c r="F2" s="381"/>
      <c r="G2" s="381"/>
      <c r="H2" s="185"/>
    </row>
    <row r="3" ht="27" customHeight="1" spans="1:8">
      <c r="A3" s="382" t="s">
        <v>2</v>
      </c>
      <c r="B3" s="382"/>
      <c r="C3" s="382"/>
      <c r="D3" s="382"/>
      <c r="E3" s="382"/>
      <c r="F3" s="382"/>
      <c r="G3" s="382"/>
      <c r="H3" s="382"/>
    </row>
    <row r="4" ht="49.05" customHeight="1" spans="1:8">
      <c r="A4" s="13" t="s">
        <v>3</v>
      </c>
      <c r="B4" s="13"/>
      <c r="C4" s="14" t="s">
        <v>4</v>
      </c>
      <c r="D4" s="14"/>
      <c r="E4" s="14"/>
      <c r="F4" s="14"/>
      <c r="G4" s="14"/>
      <c r="H4" s="14"/>
    </row>
    <row r="5" ht="34.05" customHeight="1" spans="1:8">
      <c r="A5" s="13" t="s">
        <v>5</v>
      </c>
      <c r="B5" s="13"/>
      <c r="C5" s="14" t="s">
        <v>6</v>
      </c>
      <c r="D5" s="14"/>
      <c r="E5" s="14"/>
      <c r="F5" s="14"/>
      <c r="G5" s="14"/>
      <c r="H5" s="14"/>
    </row>
    <row r="6" ht="31.95" customHeight="1" spans="1:8">
      <c r="A6" s="13" t="s">
        <v>7</v>
      </c>
      <c r="B6" s="13"/>
      <c r="C6" s="14" t="s">
        <v>8</v>
      </c>
      <c r="D6" s="14"/>
      <c r="E6" s="14"/>
      <c r="F6" s="14"/>
      <c r="G6" s="14"/>
      <c r="H6" s="14"/>
    </row>
    <row r="7" s="378" customFormat="1" ht="16.8" customHeight="1" spans="1:8">
      <c r="A7" s="383" t="s">
        <v>9</v>
      </c>
      <c r="B7" s="383" t="s">
        <v>10</v>
      </c>
      <c r="C7" s="383" t="s">
        <v>11</v>
      </c>
      <c r="D7" s="383" t="s">
        <v>12</v>
      </c>
      <c r="E7" s="383" t="s">
        <v>13</v>
      </c>
      <c r="F7" s="383" t="s">
        <v>14</v>
      </c>
      <c r="G7" s="383" t="s">
        <v>15</v>
      </c>
      <c r="H7" s="384">
        <v>0.2882</v>
      </c>
    </row>
    <row r="8" s="378" customFormat="1" ht="19.95" customHeight="1" spans="1:8">
      <c r="A8" s="383"/>
      <c r="B8" s="383"/>
      <c r="C8" s="383"/>
      <c r="D8" s="383"/>
      <c r="E8" s="383"/>
      <c r="F8" s="383"/>
      <c r="G8" s="383"/>
      <c r="H8" s="383" t="s">
        <v>16</v>
      </c>
    </row>
    <row r="9" s="378" customFormat="1" ht="19.95" customHeight="1" spans="1:8">
      <c r="A9" s="383"/>
      <c r="B9" s="383"/>
      <c r="C9" s="383"/>
      <c r="D9" s="383"/>
      <c r="E9" s="383"/>
      <c r="F9" s="383"/>
      <c r="G9" s="383"/>
      <c r="H9" s="383"/>
    </row>
    <row r="10" s="378" customFormat="1" ht="15" customHeight="1" spans="1:8">
      <c r="A10" s="13"/>
      <c r="B10" s="13"/>
      <c r="C10" s="13"/>
      <c r="D10" s="13"/>
      <c r="E10" s="13"/>
      <c r="F10" s="13"/>
      <c r="G10" s="13"/>
      <c r="H10" s="13"/>
    </row>
    <row r="11" s="379" customFormat="1" ht="28.05" customHeight="1" spans="1:1025">
      <c r="A11" s="385" t="s">
        <v>17</v>
      </c>
      <c r="B11" s="386" t="str">
        <f>'Orçamento '!E10</f>
        <v>ADMINISTRAÇÃO DE OBRA</v>
      </c>
      <c r="C11" s="387"/>
      <c r="D11" s="387"/>
      <c r="E11" s="387"/>
      <c r="F11" s="387"/>
      <c r="G11" s="387"/>
      <c r="H11" s="388">
        <f>'Orçamento '!J10</f>
        <v>11169.9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</row>
    <row r="12" s="378" customFormat="1" ht="28.05" customHeight="1" spans="1:8">
      <c r="A12" s="13"/>
      <c r="B12" s="13"/>
      <c r="C12" s="13"/>
      <c r="D12" s="13"/>
      <c r="E12" s="13"/>
      <c r="F12" s="13"/>
      <c r="G12" s="13"/>
      <c r="H12" s="13"/>
    </row>
    <row r="13" s="380" customFormat="1" ht="28.05" customHeight="1" spans="1:1025">
      <c r="A13" s="385" t="s">
        <v>18</v>
      </c>
      <c r="B13" s="386" t="str">
        <f>'Orçamento '!E13</f>
        <v>SERVIÇOS PRELIMINARES</v>
      </c>
      <c r="C13" s="387"/>
      <c r="D13" s="387"/>
      <c r="E13" s="387"/>
      <c r="F13" s="387"/>
      <c r="G13" s="387"/>
      <c r="H13" s="388">
        <f>'Orçamento '!J13</f>
        <v>3199.86</v>
      </c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0"/>
      <c r="BI13" s="390"/>
      <c r="BJ13" s="390"/>
      <c r="BK13" s="390"/>
      <c r="BL13" s="390"/>
      <c r="BM13" s="390"/>
      <c r="BN13" s="390"/>
      <c r="BO13" s="390"/>
      <c r="BP13" s="390"/>
      <c r="BQ13" s="390"/>
      <c r="BR13" s="390"/>
      <c r="BS13" s="390"/>
      <c r="BT13" s="390"/>
      <c r="BU13" s="390"/>
      <c r="BV13" s="390"/>
      <c r="BW13" s="390"/>
      <c r="BX13" s="390"/>
      <c r="BY13" s="390"/>
      <c r="BZ13" s="390"/>
      <c r="CA13" s="390"/>
      <c r="CB13" s="390"/>
      <c r="CC13" s="390"/>
      <c r="CD13" s="390"/>
      <c r="CE13" s="390"/>
      <c r="CF13" s="390"/>
      <c r="CG13" s="390"/>
      <c r="CH13" s="390"/>
      <c r="CI13" s="390"/>
      <c r="CJ13" s="390"/>
      <c r="CK13" s="390"/>
      <c r="CL13" s="390"/>
      <c r="CM13" s="390"/>
      <c r="CN13" s="390"/>
      <c r="CO13" s="390"/>
      <c r="CP13" s="390"/>
      <c r="CQ13" s="390"/>
      <c r="CR13" s="390"/>
      <c r="CS13" s="390"/>
      <c r="CT13" s="390"/>
      <c r="CU13" s="390"/>
      <c r="CV13" s="390"/>
      <c r="CW13" s="390"/>
      <c r="CX13" s="390"/>
      <c r="CY13" s="390"/>
      <c r="CZ13" s="390"/>
      <c r="DA13" s="390"/>
      <c r="DB13" s="390"/>
      <c r="DC13" s="390"/>
      <c r="DD13" s="390"/>
      <c r="DE13" s="390"/>
      <c r="DF13" s="390"/>
      <c r="DG13" s="390"/>
      <c r="DH13" s="390"/>
      <c r="DI13" s="390"/>
      <c r="DJ13" s="390"/>
      <c r="DK13" s="390"/>
      <c r="DL13" s="390"/>
      <c r="DM13" s="390"/>
      <c r="DN13" s="390"/>
      <c r="DO13" s="390"/>
      <c r="DP13" s="390"/>
      <c r="DQ13" s="390"/>
      <c r="DR13" s="390"/>
      <c r="DS13" s="390"/>
      <c r="DT13" s="390"/>
      <c r="DU13" s="390"/>
      <c r="DV13" s="390"/>
      <c r="DW13" s="390"/>
      <c r="DX13" s="390"/>
      <c r="DY13" s="390"/>
      <c r="DZ13" s="390"/>
      <c r="EA13" s="390"/>
      <c r="EB13" s="390"/>
      <c r="EC13" s="390"/>
      <c r="ED13" s="390"/>
      <c r="EE13" s="390"/>
      <c r="EF13" s="390"/>
      <c r="EG13" s="390"/>
      <c r="EH13" s="390"/>
      <c r="EI13" s="390"/>
      <c r="EJ13" s="390"/>
      <c r="EK13" s="390"/>
      <c r="EL13" s="390"/>
      <c r="EM13" s="390"/>
      <c r="EN13" s="390"/>
      <c r="EO13" s="390"/>
      <c r="EP13" s="390"/>
      <c r="EQ13" s="390"/>
      <c r="ER13" s="390"/>
      <c r="ES13" s="390"/>
      <c r="ET13" s="390"/>
      <c r="EU13" s="390"/>
      <c r="EV13" s="390"/>
      <c r="EW13" s="390"/>
      <c r="EX13" s="390"/>
      <c r="EY13" s="390"/>
      <c r="EZ13" s="390"/>
      <c r="FA13" s="390"/>
      <c r="FB13" s="390"/>
      <c r="FC13" s="390"/>
      <c r="FD13" s="390"/>
      <c r="FE13" s="390"/>
      <c r="FF13" s="390"/>
      <c r="FG13" s="390"/>
      <c r="FH13" s="390"/>
      <c r="FI13" s="390"/>
      <c r="FJ13" s="390"/>
      <c r="FK13" s="390"/>
      <c r="FL13" s="390"/>
      <c r="FM13" s="390"/>
      <c r="FN13" s="390"/>
      <c r="FO13" s="390"/>
      <c r="FP13" s="390"/>
      <c r="FQ13" s="390"/>
      <c r="FR13" s="390"/>
      <c r="FS13" s="390"/>
      <c r="FT13" s="390"/>
      <c r="FU13" s="390"/>
      <c r="FV13" s="390"/>
      <c r="FW13" s="390"/>
      <c r="FX13" s="390"/>
      <c r="FY13" s="390"/>
      <c r="FZ13" s="390"/>
      <c r="GA13" s="390"/>
      <c r="GB13" s="390"/>
      <c r="GC13" s="390"/>
      <c r="GD13" s="390"/>
      <c r="GE13" s="390"/>
      <c r="GF13" s="390"/>
      <c r="GG13" s="390"/>
      <c r="GH13" s="390"/>
      <c r="GI13" s="390"/>
      <c r="GJ13" s="390"/>
      <c r="GK13" s="390"/>
      <c r="GL13" s="390"/>
      <c r="GM13" s="390"/>
      <c r="GN13" s="390"/>
      <c r="GO13" s="390"/>
      <c r="GP13" s="390"/>
      <c r="GQ13" s="390"/>
      <c r="GR13" s="390"/>
      <c r="GS13" s="390"/>
      <c r="GT13" s="390"/>
      <c r="GU13" s="390"/>
      <c r="GV13" s="390"/>
      <c r="GW13" s="390"/>
      <c r="GX13" s="390"/>
      <c r="GY13" s="390"/>
      <c r="GZ13" s="390"/>
      <c r="HA13" s="390"/>
      <c r="HB13" s="390"/>
      <c r="HC13" s="390"/>
      <c r="HD13" s="390"/>
      <c r="HE13" s="390"/>
      <c r="HF13" s="390"/>
      <c r="HG13" s="390"/>
      <c r="HH13" s="390"/>
      <c r="HI13" s="390"/>
      <c r="HJ13" s="390"/>
      <c r="HK13" s="390"/>
      <c r="HL13" s="390"/>
      <c r="HM13" s="390"/>
      <c r="HN13" s="390"/>
      <c r="HO13" s="390"/>
      <c r="HP13" s="390"/>
      <c r="HQ13" s="390"/>
      <c r="HR13" s="390"/>
      <c r="HS13" s="390"/>
      <c r="HT13" s="390"/>
      <c r="HU13" s="390"/>
      <c r="HV13" s="390"/>
      <c r="HW13" s="390"/>
      <c r="HX13" s="390"/>
      <c r="HY13" s="390"/>
      <c r="HZ13" s="390"/>
      <c r="IA13" s="390"/>
      <c r="IB13" s="390"/>
      <c r="IC13" s="390"/>
      <c r="ID13" s="390"/>
      <c r="IE13" s="390"/>
      <c r="IF13" s="390"/>
      <c r="IG13" s="390"/>
      <c r="IH13" s="390"/>
      <c r="II13" s="390"/>
      <c r="IJ13" s="390"/>
      <c r="IK13" s="390"/>
      <c r="IL13" s="390"/>
      <c r="IM13" s="390"/>
      <c r="IN13" s="390"/>
      <c r="IO13" s="390"/>
      <c r="IP13" s="390"/>
      <c r="IQ13" s="390"/>
      <c r="IR13" s="390"/>
      <c r="IS13" s="390"/>
      <c r="IT13" s="390"/>
      <c r="IU13" s="390"/>
      <c r="IV13" s="390"/>
      <c r="IW13" s="390"/>
      <c r="IX13" s="390"/>
      <c r="IY13" s="390"/>
      <c r="IZ13" s="390"/>
      <c r="JA13" s="390"/>
      <c r="JB13" s="390"/>
      <c r="JC13" s="390"/>
      <c r="JD13" s="390"/>
      <c r="JE13" s="390"/>
      <c r="JF13" s="390"/>
      <c r="JG13" s="390"/>
      <c r="JH13" s="390"/>
      <c r="JI13" s="390"/>
      <c r="JJ13" s="390"/>
      <c r="JK13" s="390"/>
      <c r="JL13" s="390"/>
      <c r="JM13" s="390"/>
      <c r="JN13" s="390"/>
      <c r="JO13" s="390"/>
      <c r="JP13" s="390"/>
      <c r="JQ13" s="390"/>
      <c r="JR13" s="390"/>
      <c r="JS13" s="390"/>
      <c r="JT13" s="390"/>
      <c r="JU13" s="390"/>
      <c r="JV13" s="390"/>
      <c r="JW13" s="390"/>
      <c r="JX13" s="390"/>
      <c r="JY13" s="390"/>
      <c r="JZ13" s="390"/>
      <c r="KA13" s="390"/>
      <c r="KB13" s="390"/>
      <c r="KC13" s="390"/>
      <c r="KD13" s="390"/>
      <c r="KE13" s="390"/>
      <c r="KF13" s="390"/>
      <c r="KG13" s="390"/>
      <c r="KH13" s="390"/>
      <c r="KI13" s="390"/>
      <c r="KJ13" s="390"/>
      <c r="KK13" s="390"/>
      <c r="KL13" s="390"/>
      <c r="KM13" s="390"/>
      <c r="KN13" s="390"/>
      <c r="KO13" s="390"/>
      <c r="KP13" s="390"/>
      <c r="KQ13" s="390"/>
      <c r="KR13" s="390"/>
      <c r="KS13" s="390"/>
      <c r="KT13" s="390"/>
      <c r="KU13" s="390"/>
      <c r="KV13" s="390"/>
      <c r="KW13" s="390"/>
      <c r="KX13" s="390"/>
      <c r="KY13" s="390"/>
      <c r="KZ13" s="390"/>
      <c r="LA13" s="390"/>
      <c r="LB13" s="390"/>
      <c r="LC13" s="390"/>
      <c r="LD13" s="390"/>
      <c r="LE13" s="390"/>
      <c r="LF13" s="390"/>
      <c r="LG13" s="390"/>
      <c r="LH13" s="390"/>
      <c r="LI13" s="390"/>
      <c r="LJ13" s="390"/>
      <c r="LK13" s="390"/>
      <c r="LL13" s="390"/>
      <c r="LM13" s="390"/>
      <c r="LN13" s="390"/>
      <c r="LO13" s="390"/>
      <c r="LP13" s="390"/>
      <c r="LQ13" s="390"/>
      <c r="LR13" s="390"/>
      <c r="LS13" s="390"/>
      <c r="LT13" s="390"/>
      <c r="LU13" s="390"/>
      <c r="LV13" s="390"/>
      <c r="LW13" s="390"/>
      <c r="LX13" s="390"/>
      <c r="LY13" s="390"/>
      <c r="LZ13" s="390"/>
      <c r="MA13" s="390"/>
      <c r="MB13" s="390"/>
      <c r="MC13" s="390"/>
      <c r="MD13" s="390"/>
      <c r="ME13" s="390"/>
      <c r="MF13" s="390"/>
      <c r="MG13" s="390"/>
      <c r="MH13" s="390"/>
      <c r="MI13" s="390"/>
      <c r="MJ13" s="390"/>
      <c r="MK13" s="390"/>
      <c r="ML13" s="390"/>
      <c r="MM13" s="390"/>
      <c r="MN13" s="390"/>
      <c r="MO13" s="390"/>
      <c r="MP13" s="390"/>
      <c r="MQ13" s="390"/>
      <c r="MR13" s="390"/>
      <c r="MS13" s="390"/>
      <c r="MT13" s="390"/>
      <c r="MU13" s="390"/>
      <c r="MV13" s="390"/>
      <c r="MW13" s="390"/>
      <c r="MX13" s="390"/>
      <c r="MY13" s="390"/>
      <c r="MZ13" s="390"/>
      <c r="NA13" s="390"/>
      <c r="NB13" s="390"/>
      <c r="NC13" s="390"/>
      <c r="ND13" s="390"/>
      <c r="NE13" s="390"/>
      <c r="NF13" s="390"/>
      <c r="NG13" s="390"/>
      <c r="NH13" s="390"/>
      <c r="NI13" s="390"/>
      <c r="NJ13" s="390"/>
      <c r="NK13" s="390"/>
      <c r="NL13" s="390"/>
      <c r="NM13" s="390"/>
      <c r="NN13" s="390"/>
      <c r="NO13" s="390"/>
      <c r="NP13" s="390"/>
      <c r="NQ13" s="390"/>
      <c r="NR13" s="390"/>
      <c r="NS13" s="390"/>
      <c r="NT13" s="390"/>
      <c r="NU13" s="390"/>
      <c r="NV13" s="390"/>
      <c r="NW13" s="390"/>
      <c r="NX13" s="390"/>
      <c r="NY13" s="390"/>
      <c r="NZ13" s="390"/>
      <c r="OA13" s="390"/>
      <c r="OB13" s="390"/>
      <c r="OC13" s="390"/>
      <c r="OD13" s="390"/>
      <c r="OE13" s="390"/>
      <c r="OF13" s="390"/>
      <c r="OG13" s="390"/>
      <c r="OH13" s="390"/>
      <c r="OI13" s="390"/>
      <c r="OJ13" s="390"/>
      <c r="OK13" s="390"/>
      <c r="OL13" s="390"/>
      <c r="OM13" s="390"/>
      <c r="ON13" s="390"/>
      <c r="OO13" s="390"/>
      <c r="OP13" s="390"/>
      <c r="OQ13" s="390"/>
      <c r="OR13" s="390"/>
      <c r="OS13" s="390"/>
      <c r="OT13" s="390"/>
      <c r="OU13" s="390"/>
      <c r="OV13" s="390"/>
      <c r="OW13" s="390"/>
      <c r="OX13" s="390"/>
      <c r="OY13" s="390"/>
      <c r="OZ13" s="390"/>
      <c r="PA13" s="390"/>
      <c r="PB13" s="390"/>
      <c r="PC13" s="390"/>
      <c r="PD13" s="390"/>
      <c r="PE13" s="390"/>
      <c r="PF13" s="390"/>
      <c r="PG13" s="390"/>
      <c r="PH13" s="390"/>
      <c r="PI13" s="390"/>
      <c r="PJ13" s="390"/>
      <c r="PK13" s="390"/>
      <c r="PL13" s="390"/>
      <c r="PM13" s="390"/>
      <c r="PN13" s="390"/>
      <c r="PO13" s="390"/>
      <c r="PP13" s="390"/>
      <c r="PQ13" s="390"/>
      <c r="PR13" s="390"/>
      <c r="PS13" s="390"/>
      <c r="PT13" s="390"/>
      <c r="PU13" s="390"/>
      <c r="PV13" s="390"/>
      <c r="PW13" s="390"/>
      <c r="PX13" s="390"/>
      <c r="PY13" s="390"/>
      <c r="PZ13" s="390"/>
      <c r="QA13" s="390"/>
      <c r="QB13" s="390"/>
      <c r="QC13" s="390"/>
      <c r="QD13" s="390"/>
      <c r="QE13" s="390"/>
      <c r="QF13" s="390"/>
      <c r="QG13" s="390"/>
      <c r="QH13" s="390"/>
      <c r="QI13" s="390"/>
      <c r="QJ13" s="390"/>
      <c r="QK13" s="390"/>
      <c r="QL13" s="390"/>
      <c r="QM13" s="390"/>
      <c r="QN13" s="390"/>
      <c r="QO13" s="390"/>
      <c r="QP13" s="390"/>
      <c r="QQ13" s="390"/>
      <c r="QR13" s="390"/>
      <c r="QS13" s="390"/>
      <c r="QT13" s="390"/>
      <c r="QU13" s="390"/>
      <c r="QV13" s="390"/>
      <c r="QW13" s="390"/>
      <c r="QX13" s="390"/>
      <c r="QY13" s="390"/>
      <c r="QZ13" s="390"/>
      <c r="RA13" s="390"/>
      <c r="RB13" s="390"/>
      <c r="RC13" s="390"/>
      <c r="RD13" s="390"/>
      <c r="RE13" s="390"/>
      <c r="RF13" s="390"/>
      <c r="RG13" s="390"/>
      <c r="RH13" s="390"/>
      <c r="RI13" s="390"/>
      <c r="RJ13" s="390"/>
      <c r="RK13" s="390"/>
      <c r="RL13" s="390"/>
      <c r="RM13" s="390"/>
      <c r="RN13" s="390"/>
      <c r="RO13" s="390"/>
      <c r="RP13" s="390"/>
      <c r="RQ13" s="390"/>
      <c r="RR13" s="390"/>
      <c r="RS13" s="390"/>
      <c r="RT13" s="390"/>
      <c r="RU13" s="390"/>
      <c r="RV13" s="390"/>
      <c r="RW13" s="390"/>
      <c r="RX13" s="390"/>
      <c r="RY13" s="390"/>
      <c r="RZ13" s="390"/>
      <c r="SA13" s="390"/>
      <c r="SB13" s="390"/>
      <c r="SC13" s="390"/>
      <c r="SD13" s="390"/>
      <c r="SE13" s="390"/>
      <c r="SF13" s="390"/>
      <c r="SG13" s="390"/>
      <c r="SH13" s="390"/>
      <c r="SI13" s="390"/>
      <c r="SJ13" s="390"/>
      <c r="SK13" s="390"/>
      <c r="SL13" s="390"/>
      <c r="SM13" s="390"/>
      <c r="SN13" s="390"/>
      <c r="SO13" s="390"/>
      <c r="SP13" s="390"/>
      <c r="SQ13" s="390"/>
      <c r="SR13" s="390"/>
      <c r="SS13" s="390"/>
      <c r="ST13" s="390"/>
      <c r="SU13" s="390"/>
      <c r="SV13" s="390"/>
      <c r="SW13" s="390"/>
      <c r="SX13" s="390"/>
      <c r="SY13" s="390"/>
      <c r="SZ13" s="390"/>
      <c r="TA13" s="390"/>
      <c r="TB13" s="390"/>
      <c r="TC13" s="390"/>
      <c r="TD13" s="390"/>
      <c r="TE13" s="390"/>
      <c r="TF13" s="390"/>
      <c r="TG13" s="390"/>
      <c r="TH13" s="390"/>
      <c r="TI13" s="390"/>
      <c r="TJ13" s="390"/>
      <c r="TK13" s="390"/>
      <c r="TL13" s="390"/>
      <c r="TM13" s="390"/>
      <c r="TN13" s="390"/>
      <c r="TO13" s="390"/>
      <c r="TP13" s="390"/>
      <c r="TQ13" s="390"/>
      <c r="TR13" s="390"/>
      <c r="TS13" s="390"/>
      <c r="TT13" s="390"/>
      <c r="TU13" s="390"/>
      <c r="TV13" s="390"/>
      <c r="TW13" s="390"/>
      <c r="TX13" s="390"/>
      <c r="TY13" s="390"/>
      <c r="TZ13" s="390"/>
      <c r="UA13" s="390"/>
      <c r="UB13" s="390"/>
      <c r="UC13" s="390"/>
      <c r="UD13" s="390"/>
      <c r="UE13" s="390"/>
      <c r="UF13" s="390"/>
      <c r="UG13" s="390"/>
      <c r="UH13" s="390"/>
      <c r="UI13" s="390"/>
      <c r="UJ13" s="390"/>
      <c r="UK13" s="390"/>
      <c r="UL13" s="390"/>
      <c r="UM13" s="390"/>
      <c r="UN13" s="390"/>
      <c r="UO13" s="390"/>
      <c r="UP13" s="390"/>
      <c r="UQ13" s="390"/>
      <c r="UR13" s="390"/>
      <c r="US13" s="390"/>
      <c r="UT13" s="390"/>
      <c r="UU13" s="390"/>
      <c r="UV13" s="390"/>
      <c r="UW13" s="390"/>
      <c r="UX13" s="390"/>
      <c r="UY13" s="390"/>
      <c r="UZ13" s="390"/>
      <c r="VA13" s="390"/>
      <c r="VB13" s="390"/>
      <c r="VC13" s="390"/>
      <c r="VD13" s="390"/>
      <c r="VE13" s="390"/>
      <c r="VF13" s="390"/>
      <c r="VG13" s="390"/>
      <c r="VH13" s="390"/>
      <c r="VI13" s="390"/>
      <c r="VJ13" s="390"/>
      <c r="VK13" s="390"/>
      <c r="VL13" s="390"/>
      <c r="VM13" s="390"/>
      <c r="VN13" s="390"/>
      <c r="VO13" s="390"/>
      <c r="VP13" s="390"/>
      <c r="VQ13" s="390"/>
      <c r="VR13" s="390"/>
      <c r="VS13" s="390"/>
      <c r="VT13" s="390"/>
      <c r="VU13" s="390"/>
      <c r="VV13" s="390"/>
      <c r="VW13" s="390"/>
      <c r="VX13" s="390"/>
      <c r="VY13" s="390"/>
      <c r="VZ13" s="390"/>
      <c r="WA13" s="390"/>
      <c r="WB13" s="390"/>
      <c r="WC13" s="390"/>
      <c r="WD13" s="390"/>
      <c r="WE13" s="390"/>
      <c r="WF13" s="390"/>
      <c r="WG13" s="390"/>
      <c r="WH13" s="390"/>
      <c r="WI13" s="390"/>
      <c r="WJ13" s="390"/>
      <c r="WK13" s="390"/>
      <c r="WL13" s="390"/>
      <c r="WM13" s="390"/>
      <c r="WN13" s="390"/>
      <c r="WO13" s="390"/>
      <c r="WP13" s="390"/>
      <c r="WQ13" s="390"/>
      <c r="WR13" s="390"/>
      <c r="WS13" s="390"/>
      <c r="WT13" s="390"/>
      <c r="WU13" s="390"/>
      <c r="WV13" s="390"/>
      <c r="WW13" s="390"/>
      <c r="WX13" s="390"/>
      <c r="WY13" s="390"/>
      <c r="WZ13" s="390"/>
      <c r="XA13" s="390"/>
      <c r="XB13" s="390"/>
      <c r="XC13" s="390"/>
      <c r="XD13" s="390"/>
      <c r="XE13" s="390"/>
      <c r="XF13" s="390"/>
      <c r="XG13" s="390"/>
      <c r="XH13" s="390"/>
      <c r="XI13" s="390"/>
      <c r="XJ13" s="390"/>
      <c r="XK13" s="390"/>
      <c r="XL13" s="390"/>
      <c r="XM13" s="390"/>
      <c r="XN13" s="390"/>
      <c r="XO13" s="390"/>
      <c r="XP13" s="390"/>
      <c r="XQ13" s="390"/>
      <c r="XR13" s="390"/>
      <c r="XS13" s="390"/>
      <c r="XT13" s="390"/>
      <c r="XU13" s="390"/>
      <c r="XV13" s="390"/>
      <c r="XW13" s="390"/>
      <c r="XX13" s="390"/>
      <c r="XY13" s="390"/>
      <c r="XZ13" s="390"/>
      <c r="YA13" s="390"/>
      <c r="YB13" s="390"/>
      <c r="YC13" s="390"/>
      <c r="YD13" s="390"/>
      <c r="YE13" s="390"/>
      <c r="YF13" s="390"/>
      <c r="YG13" s="390"/>
      <c r="YH13" s="390"/>
      <c r="YI13" s="390"/>
      <c r="YJ13" s="390"/>
      <c r="YK13" s="390"/>
      <c r="YL13" s="390"/>
      <c r="YM13" s="390"/>
      <c r="YN13" s="390"/>
      <c r="YO13" s="390"/>
      <c r="YP13" s="390"/>
      <c r="YQ13" s="390"/>
      <c r="YR13" s="390"/>
      <c r="YS13" s="390"/>
      <c r="YT13" s="390"/>
      <c r="YU13" s="390"/>
      <c r="YV13" s="390"/>
      <c r="YW13" s="390"/>
      <c r="YX13" s="390"/>
      <c r="YY13" s="390"/>
      <c r="YZ13" s="390"/>
      <c r="ZA13" s="390"/>
      <c r="ZB13" s="390"/>
      <c r="ZC13" s="390"/>
      <c r="ZD13" s="390"/>
      <c r="ZE13" s="390"/>
      <c r="ZF13" s="390"/>
      <c r="ZG13" s="390"/>
      <c r="ZH13" s="390"/>
      <c r="ZI13" s="390"/>
      <c r="ZJ13" s="390"/>
      <c r="ZK13" s="390"/>
      <c r="ZL13" s="390"/>
      <c r="ZM13" s="390"/>
      <c r="ZN13" s="390"/>
      <c r="ZO13" s="390"/>
      <c r="ZP13" s="390"/>
      <c r="ZQ13" s="390"/>
      <c r="ZR13" s="390"/>
      <c r="ZS13" s="390"/>
      <c r="ZT13" s="390"/>
      <c r="ZU13" s="390"/>
      <c r="ZV13" s="390"/>
      <c r="ZW13" s="390"/>
      <c r="ZX13" s="390"/>
      <c r="ZY13" s="390"/>
      <c r="ZZ13" s="390"/>
      <c r="AAA13" s="390"/>
      <c r="AAB13" s="390"/>
      <c r="AAC13" s="390"/>
      <c r="AAD13" s="390"/>
      <c r="AAE13" s="390"/>
      <c r="AAF13" s="390"/>
      <c r="AAG13" s="390"/>
      <c r="AAH13" s="390"/>
      <c r="AAI13" s="390"/>
      <c r="AAJ13" s="390"/>
      <c r="AAK13" s="390"/>
      <c r="AAL13" s="390"/>
      <c r="AAM13" s="390"/>
      <c r="AAN13" s="390"/>
      <c r="AAO13" s="390"/>
      <c r="AAP13" s="390"/>
      <c r="AAQ13" s="390"/>
      <c r="AAR13" s="390"/>
      <c r="AAS13" s="390"/>
      <c r="AAT13" s="390"/>
      <c r="AAU13" s="390"/>
      <c r="AAV13" s="390"/>
      <c r="AAW13" s="390"/>
      <c r="AAX13" s="390"/>
      <c r="AAY13" s="390"/>
      <c r="AAZ13" s="390"/>
      <c r="ABA13" s="390"/>
      <c r="ABB13" s="390"/>
      <c r="ABC13" s="390"/>
      <c r="ABD13" s="390"/>
      <c r="ABE13" s="390"/>
      <c r="ABF13" s="390"/>
      <c r="ABG13" s="390"/>
      <c r="ABH13" s="390"/>
      <c r="ABI13" s="390"/>
      <c r="ABJ13" s="390"/>
      <c r="ABK13" s="390"/>
      <c r="ABL13" s="390"/>
      <c r="ABM13" s="390"/>
      <c r="ABN13" s="390"/>
      <c r="ABO13" s="390"/>
      <c r="ABP13" s="390"/>
      <c r="ABQ13" s="390"/>
      <c r="ABR13" s="390"/>
      <c r="ABS13" s="390"/>
      <c r="ABT13" s="390"/>
      <c r="ABU13" s="390"/>
      <c r="ABV13" s="390"/>
      <c r="ABW13" s="390"/>
      <c r="ABX13" s="390"/>
      <c r="ABY13" s="390"/>
      <c r="ABZ13" s="390"/>
      <c r="ACA13" s="390"/>
      <c r="ACB13" s="390"/>
      <c r="ACC13" s="390"/>
      <c r="ACD13" s="390"/>
      <c r="ACE13" s="390"/>
      <c r="ACF13" s="390"/>
      <c r="ACG13" s="390"/>
      <c r="ACH13" s="390"/>
      <c r="ACI13" s="390"/>
      <c r="ACJ13" s="390"/>
      <c r="ACK13" s="390"/>
      <c r="ACL13" s="390"/>
      <c r="ACM13" s="390"/>
      <c r="ACN13" s="390"/>
      <c r="ACO13" s="390"/>
      <c r="ACP13" s="390"/>
      <c r="ACQ13" s="390"/>
      <c r="ACR13" s="390"/>
      <c r="ACS13" s="390"/>
      <c r="ACT13" s="390"/>
      <c r="ACU13" s="390"/>
      <c r="ACV13" s="390"/>
      <c r="ACW13" s="390"/>
      <c r="ACX13" s="390"/>
      <c r="ACY13" s="390"/>
      <c r="ACZ13" s="390"/>
      <c r="ADA13" s="390"/>
      <c r="ADB13" s="390"/>
      <c r="ADC13" s="390"/>
      <c r="ADD13" s="390"/>
      <c r="ADE13" s="390"/>
      <c r="ADF13" s="390"/>
      <c r="ADG13" s="390"/>
      <c r="ADH13" s="390"/>
      <c r="ADI13" s="390"/>
      <c r="ADJ13" s="390"/>
      <c r="ADK13" s="390"/>
      <c r="ADL13" s="390"/>
      <c r="ADM13" s="390"/>
      <c r="ADN13" s="390"/>
      <c r="ADO13" s="390"/>
      <c r="ADP13" s="390"/>
      <c r="ADQ13" s="390"/>
      <c r="ADR13" s="390"/>
      <c r="ADS13" s="390"/>
      <c r="ADT13" s="390"/>
      <c r="ADU13" s="390"/>
      <c r="ADV13" s="390"/>
      <c r="ADW13" s="390"/>
      <c r="ADX13" s="390"/>
      <c r="ADY13" s="390"/>
      <c r="ADZ13" s="390"/>
      <c r="AEA13" s="390"/>
      <c r="AEB13" s="390"/>
      <c r="AEC13" s="390"/>
      <c r="AED13" s="390"/>
      <c r="AEE13" s="390"/>
      <c r="AEF13" s="390"/>
      <c r="AEG13" s="390"/>
      <c r="AEH13" s="390"/>
      <c r="AEI13" s="390"/>
      <c r="AEJ13" s="390"/>
      <c r="AEK13" s="390"/>
      <c r="AEL13" s="390"/>
      <c r="AEM13" s="390"/>
      <c r="AEN13" s="390"/>
      <c r="AEO13" s="390"/>
      <c r="AEP13" s="390"/>
      <c r="AEQ13" s="390"/>
      <c r="AER13" s="390"/>
      <c r="AES13" s="390"/>
      <c r="AET13" s="390"/>
      <c r="AEU13" s="390"/>
      <c r="AEV13" s="390"/>
      <c r="AEW13" s="390"/>
      <c r="AEX13" s="390"/>
      <c r="AEY13" s="390"/>
      <c r="AEZ13" s="390"/>
      <c r="AFA13" s="390"/>
      <c r="AFB13" s="390"/>
      <c r="AFC13" s="390"/>
      <c r="AFD13" s="390"/>
      <c r="AFE13" s="390"/>
      <c r="AFF13" s="390"/>
      <c r="AFG13" s="390"/>
      <c r="AFH13" s="390"/>
      <c r="AFI13" s="390"/>
      <c r="AFJ13" s="390"/>
      <c r="AFK13" s="390"/>
      <c r="AFL13" s="390"/>
      <c r="AFM13" s="390"/>
      <c r="AFN13" s="390"/>
      <c r="AFO13" s="390"/>
      <c r="AFP13" s="390"/>
      <c r="AFQ13" s="390"/>
      <c r="AFR13" s="390"/>
      <c r="AFS13" s="390"/>
      <c r="AFT13" s="390"/>
      <c r="AFU13" s="390"/>
      <c r="AFV13" s="390"/>
      <c r="AFW13" s="390"/>
      <c r="AFX13" s="390"/>
      <c r="AFY13" s="390"/>
      <c r="AFZ13" s="390"/>
      <c r="AGA13" s="390"/>
      <c r="AGB13" s="390"/>
      <c r="AGC13" s="390"/>
      <c r="AGD13" s="390"/>
      <c r="AGE13" s="390"/>
      <c r="AGF13" s="390"/>
      <c r="AGG13" s="390"/>
      <c r="AGH13" s="390"/>
      <c r="AGI13" s="390"/>
      <c r="AGJ13" s="390"/>
      <c r="AGK13" s="390"/>
      <c r="AGL13" s="390"/>
      <c r="AGM13" s="390"/>
      <c r="AGN13" s="390"/>
      <c r="AGO13" s="390"/>
      <c r="AGP13" s="390"/>
      <c r="AGQ13" s="390"/>
      <c r="AGR13" s="390"/>
      <c r="AGS13" s="390"/>
      <c r="AGT13" s="390"/>
      <c r="AGU13" s="390"/>
      <c r="AGV13" s="390"/>
      <c r="AGW13" s="390"/>
      <c r="AGX13" s="390"/>
      <c r="AGY13" s="390"/>
      <c r="AGZ13" s="390"/>
      <c r="AHA13" s="390"/>
      <c r="AHB13" s="390"/>
      <c r="AHC13" s="390"/>
      <c r="AHD13" s="390"/>
      <c r="AHE13" s="390"/>
      <c r="AHF13" s="390"/>
      <c r="AHG13" s="390"/>
      <c r="AHH13" s="390"/>
      <c r="AHI13" s="390"/>
      <c r="AHJ13" s="390"/>
      <c r="AHK13" s="390"/>
      <c r="AHL13" s="390"/>
      <c r="AHM13" s="390"/>
      <c r="AHN13" s="390"/>
      <c r="AHO13" s="390"/>
      <c r="AHP13" s="390"/>
      <c r="AHQ13" s="390"/>
      <c r="AHR13" s="390"/>
      <c r="AHS13" s="390"/>
      <c r="AHT13" s="390"/>
      <c r="AHU13" s="390"/>
      <c r="AHV13" s="390"/>
      <c r="AHW13" s="390"/>
      <c r="AHX13" s="390"/>
      <c r="AHY13" s="390"/>
      <c r="AHZ13" s="390"/>
      <c r="AIA13" s="390"/>
      <c r="AIB13" s="390"/>
      <c r="AIC13" s="390"/>
      <c r="AID13" s="390"/>
      <c r="AIE13" s="390"/>
      <c r="AIF13" s="390"/>
      <c r="AIG13" s="390"/>
      <c r="AIH13" s="390"/>
      <c r="AII13" s="390"/>
      <c r="AIJ13" s="390"/>
      <c r="AIK13" s="390"/>
      <c r="AIL13" s="390"/>
      <c r="AIM13" s="390"/>
      <c r="AIN13" s="390"/>
      <c r="AIO13" s="390"/>
      <c r="AIP13" s="390"/>
      <c r="AIQ13" s="390"/>
      <c r="AIR13" s="390"/>
      <c r="AIS13" s="390"/>
      <c r="AIT13" s="390"/>
      <c r="AIU13" s="390"/>
      <c r="AIV13" s="390"/>
      <c r="AIW13" s="390"/>
      <c r="AIX13" s="390"/>
      <c r="AIY13" s="390"/>
      <c r="AIZ13" s="390"/>
      <c r="AJA13" s="390"/>
      <c r="AJB13" s="390"/>
      <c r="AJC13" s="390"/>
      <c r="AJD13" s="390"/>
      <c r="AJE13" s="390"/>
      <c r="AJF13" s="390"/>
      <c r="AJG13" s="390"/>
      <c r="AJH13" s="390"/>
      <c r="AJI13" s="390"/>
      <c r="AJJ13" s="390"/>
      <c r="AJK13" s="390"/>
      <c r="AJL13" s="390"/>
      <c r="AJM13" s="390"/>
      <c r="AJN13" s="390"/>
      <c r="AJO13" s="390"/>
      <c r="AJP13" s="390"/>
      <c r="AJQ13" s="390"/>
      <c r="AJR13" s="390"/>
      <c r="AJS13" s="390"/>
      <c r="AJT13" s="390"/>
      <c r="AJU13" s="390"/>
      <c r="AJV13" s="390"/>
      <c r="AJW13" s="390"/>
      <c r="AJX13" s="390"/>
      <c r="AJY13" s="390"/>
      <c r="AJZ13" s="390"/>
      <c r="AKA13" s="390"/>
      <c r="AKB13" s="390"/>
      <c r="AKC13" s="390"/>
      <c r="AKD13" s="390"/>
      <c r="AKE13" s="390"/>
      <c r="AKF13" s="390"/>
      <c r="AKG13" s="390"/>
      <c r="AKH13" s="390"/>
      <c r="AKI13" s="390"/>
      <c r="AKJ13" s="390"/>
      <c r="AKK13" s="390"/>
      <c r="AKL13" s="390"/>
      <c r="AKM13" s="390"/>
      <c r="AKN13" s="390"/>
      <c r="AKO13" s="390"/>
      <c r="AKP13" s="390"/>
      <c r="AKQ13" s="390"/>
      <c r="AKR13" s="390"/>
      <c r="AKS13" s="390"/>
      <c r="AKT13" s="390"/>
      <c r="AKU13" s="390"/>
      <c r="AKV13" s="390"/>
      <c r="AKW13" s="390"/>
      <c r="AKX13" s="390"/>
      <c r="AKY13" s="390"/>
      <c r="AKZ13" s="390"/>
      <c r="ALA13" s="390"/>
      <c r="ALB13" s="390"/>
      <c r="ALC13" s="390"/>
      <c r="ALD13" s="390"/>
      <c r="ALE13" s="390"/>
      <c r="ALF13" s="390"/>
      <c r="ALG13" s="390"/>
      <c r="ALH13" s="390"/>
      <c r="ALI13" s="390"/>
      <c r="ALJ13" s="390"/>
      <c r="ALK13" s="390"/>
      <c r="ALL13" s="390"/>
      <c r="ALM13" s="390"/>
      <c r="ALN13" s="390"/>
      <c r="ALO13" s="390"/>
      <c r="ALP13" s="390"/>
      <c r="ALQ13" s="390"/>
      <c r="ALR13" s="390"/>
      <c r="ALS13" s="390"/>
      <c r="ALT13" s="390"/>
      <c r="ALU13" s="390"/>
      <c r="ALV13" s="390"/>
      <c r="ALW13" s="390"/>
      <c r="ALX13" s="390"/>
      <c r="ALY13" s="390"/>
      <c r="ALZ13" s="390"/>
      <c r="AMA13" s="390"/>
      <c r="AMB13" s="390"/>
      <c r="AMC13" s="390"/>
      <c r="AMD13" s="390"/>
      <c r="AME13" s="390"/>
      <c r="AMF13" s="390"/>
      <c r="AMG13" s="390"/>
      <c r="AMH13" s="390"/>
      <c r="AMI13" s="390"/>
      <c r="AMJ13" s="390"/>
      <c r="AMK13" s="390"/>
    </row>
    <row r="14" s="378" customFormat="1" ht="28.05" customHeight="1" spans="1:8">
      <c r="A14" s="13"/>
      <c r="B14" s="13"/>
      <c r="C14" s="13"/>
      <c r="D14" s="13"/>
      <c r="E14" s="13"/>
      <c r="F14" s="13"/>
      <c r="G14" s="13"/>
      <c r="H14" s="13"/>
    </row>
    <row r="15" s="380" customFormat="1" ht="28.05" customHeight="1" spans="1:1025">
      <c r="A15" s="385" t="s">
        <v>19</v>
      </c>
      <c r="B15" s="386" t="str">
        <f>'Orçamento '!E15</f>
        <v>REMOÇÃO E LIMPEZA</v>
      </c>
      <c r="C15" s="387"/>
      <c r="D15" s="387"/>
      <c r="E15" s="387"/>
      <c r="F15" s="387"/>
      <c r="G15" s="387"/>
      <c r="H15" s="388">
        <f>'Orçamento '!J15</f>
        <v>33181.95</v>
      </c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0"/>
      <c r="CJ15" s="390"/>
      <c r="CK15" s="390"/>
      <c r="CL15" s="390"/>
      <c r="CM15" s="390"/>
      <c r="CN15" s="390"/>
      <c r="CO15" s="390"/>
      <c r="CP15" s="390"/>
      <c r="CQ15" s="390"/>
      <c r="CR15" s="390"/>
      <c r="CS15" s="390"/>
      <c r="CT15" s="390"/>
      <c r="CU15" s="390"/>
      <c r="CV15" s="390"/>
      <c r="CW15" s="390"/>
      <c r="CX15" s="390"/>
      <c r="CY15" s="390"/>
      <c r="CZ15" s="390"/>
      <c r="DA15" s="390"/>
      <c r="DB15" s="390"/>
      <c r="DC15" s="390"/>
      <c r="DD15" s="390"/>
      <c r="DE15" s="390"/>
      <c r="DF15" s="390"/>
      <c r="DG15" s="390"/>
      <c r="DH15" s="390"/>
      <c r="DI15" s="390"/>
      <c r="DJ15" s="390"/>
      <c r="DK15" s="390"/>
      <c r="DL15" s="390"/>
      <c r="DM15" s="390"/>
      <c r="DN15" s="390"/>
      <c r="DO15" s="390"/>
      <c r="DP15" s="390"/>
      <c r="DQ15" s="390"/>
      <c r="DR15" s="390"/>
      <c r="DS15" s="390"/>
      <c r="DT15" s="390"/>
      <c r="DU15" s="390"/>
      <c r="DV15" s="390"/>
      <c r="DW15" s="390"/>
      <c r="DX15" s="390"/>
      <c r="DY15" s="390"/>
      <c r="DZ15" s="390"/>
      <c r="EA15" s="390"/>
      <c r="EB15" s="390"/>
      <c r="EC15" s="390"/>
      <c r="ED15" s="390"/>
      <c r="EE15" s="390"/>
      <c r="EF15" s="390"/>
      <c r="EG15" s="390"/>
      <c r="EH15" s="390"/>
      <c r="EI15" s="390"/>
      <c r="EJ15" s="390"/>
      <c r="EK15" s="390"/>
      <c r="EL15" s="390"/>
      <c r="EM15" s="390"/>
      <c r="EN15" s="390"/>
      <c r="EO15" s="390"/>
      <c r="EP15" s="390"/>
      <c r="EQ15" s="390"/>
      <c r="ER15" s="390"/>
      <c r="ES15" s="390"/>
      <c r="ET15" s="390"/>
      <c r="EU15" s="390"/>
      <c r="EV15" s="390"/>
      <c r="EW15" s="390"/>
      <c r="EX15" s="390"/>
      <c r="EY15" s="390"/>
      <c r="EZ15" s="390"/>
      <c r="FA15" s="390"/>
      <c r="FB15" s="390"/>
      <c r="FC15" s="390"/>
      <c r="FD15" s="390"/>
      <c r="FE15" s="390"/>
      <c r="FF15" s="390"/>
      <c r="FG15" s="390"/>
      <c r="FH15" s="390"/>
      <c r="FI15" s="390"/>
      <c r="FJ15" s="390"/>
      <c r="FK15" s="390"/>
      <c r="FL15" s="390"/>
      <c r="FM15" s="390"/>
      <c r="FN15" s="390"/>
      <c r="FO15" s="390"/>
      <c r="FP15" s="390"/>
      <c r="FQ15" s="390"/>
      <c r="FR15" s="390"/>
      <c r="FS15" s="390"/>
      <c r="FT15" s="390"/>
      <c r="FU15" s="390"/>
      <c r="FV15" s="390"/>
      <c r="FW15" s="390"/>
      <c r="FX15" s="390"/>
      <c r="FY15" s="390"/>
      <c r="FZ15" s="390"/>
      <c r="GA15" s="390"/>
      <c r="GB15" s="390"/>
      <c r="GC15" s="390"/>
      <c r="GD15" s="390"/>
      <c r="GE15" s="390"/>
      <c r="GF15" s="390"/>
      <c r="GG15" s="390"/>
      <c r="GH15" s="390"/>
      <c r="GI15" s="390"/>
      <c r="GJ15" s="390"/>
      <c r="GK15" s="390"/>
      <c r="GL15" s="390"/>
      <c r="GM15" s="390"/>
      <c r="GN15" s="390"/>
      <c r="GO15" s="390"/>
      <c r="GP15" s="390"/>
      <c r="GQ15" s="390"/>
      <c r="GR15" s="390"/>
      <c r="GS15" s="390"/>
      <c r="GT15" s="390"/>
      <c r="GU15" s="390"/>
      <c r="GV15" s="390"/>
      <c r="GW15" s="390"/>
      <c r="GX15" s="390"/>
      <c r="GY15" s="390"/>
      <c r="GZ15" s="390"/>
      <c r="HA15" s="390"/>
      <c r="HB15" s="390"/>
      <c r="HC15" s="390"/>
      <c r="HD15" s="390"/>
      <c r="HE15" s="390"/>
      <c r="HF15" s="390"/>
      <c r="HG15" s="390"/>
      <c r="HH15" s="390"/>
      <c r="HI15" s="390"/>
      <c r="HJ15" s="390"/>
      <c r="HK15" s="390"/>
      <c r="HL15" s="390"/>
      <c r="HM15" s="390"/>
      <c r="HN15" s="390"/>
      <c r="HO15" s="390"/>
      <c r="HP15" s="390"/>
      <c r="HQ15" s="390"/>
      <c r="HR15" s="390"/>
      <c r="HS15" s="390"/>
      <c r="HT15" s="390"/>
      <c r="HU15" s="390"/>
      <c r="HV15" s="390"/>
      <c r="HW15" s="390"/>
      <c r="HX15" s="390"/>
      <c r="HY15" s="390"/>
      <c r="HZ15" s="390"/>
      <c r="IA15" s="390"/>
      <c r="IB15" s="390"/>
      <c r="IC15" s="390"/>
      <c r="ID15" s="390"/>
      <c r="IE15" s="390"/>
      <c r="IF15" s="390"/>
      <c r="IG15" s="390"/>
      <c r="IH15" s="390"/>
      <c r="II15" s="390"/>
      <c r="IJ15" s="390"/>
      <c r="IK15" s="390"/>
      <c r="IL15" s="390"/>
      <c r="IM15" s="390"/>
      <c r="IN15" s="390"/>
      <c r="IO15" s="390"/>
      <c r="IP15" s="390"/>
      <c r="IQ15" s="390"/>
      <c r="IR15" s="390"/>
      <c r="IS15" s="390"/>
      <c r="IT15" s="390"/>
      <c r="IU15" s="390"/>
      <c r="IV15" s="390"/>
      <c r="IW15" s="390"/>
      <c r="IX15" s="390"/>
      <c r="IY15" s="390"/>
      <c r="IZ15" s="390"/>
      <c r="JA15" s="390"/>
      <c r="JB15" s="390"/>
      <c r="JC15" s="390"/>
      <c r="JD15" s="390"/>
      <c r="JE15" s="390"/>
      <c r="JF15" s="390"/>
      <c r="JG15" s="390"/>
      <c r="JH15" s="390"/>
      <c r="JI15" s="390"/>
      <c r="JJ15" s="390"/>
      <c r="JK15" s="390"/>
      <c r="JL15" s="390"/>
      <c r="JM15" s="390"/>
      <c r="JN15" s="390"/>
      <c r="JO15" s="390"/>
      <c r="JP15" s="390"/>
      <c r="JQ15" s="390"/>
      <c r="JR15" s="390"/>
      <c r="JS15" s="390"/>
      <c r="JT15" s="390"/>
      <c r="JU15" s="390"/>
      <c r="JV15" s="390"/>
      <c r="JW15" s="390"/>
      <c r="JX15" s="390"/>
      <c r="JY15" s="390"/>
      <c r="JZ15" s="390"/>
      <c r="KA15" s="390"/>
      <c r="KB15" s="390"/>
      <c r="KC15" s="390"/>
      <c r="KD15" s="390"/>
      <c r="KE15" s="390"/>
      <c r="KF15" s="390"/>
      <c r="KG15" s="390"/>
      <c r="KH15" s="390"/>
      <c r="KI15" s="390"/>
      <c r="KJ15" s="390"/>
      <c r="KK15" s="390"/>
      <c r="KL15" s="390"/>
      <c r="KM15" s="390"/>
      <c r="KN15" s="390"/>
      <c r="KO15" s="390"/>
      <c r="KP15" s="390"/>
      <c r="KQ15" s="390"/>
      <c r="KR15" s="390"/>
      <c r="KS15" s="390"/>
      <c r="KT15" s="390"/>
      <c r="KU15" s="390"/>
      <c r="KV15" s="390"/>
      <c r="KW15" s="390"/>
      <c r="KX15" s="390"/>
      <c r="KY15" s="390"/>
      <c r="KZ15" s="390"/>
      <c r="LA15" s="390"/>
      <c r="LB15" s="390"/>
      <c r="LC15" s="390"/>
      <c r="LD15" s="390"/>
      <c r="LE15" s="390"/>
      <c r="LF15" s="390"/>
      <c r="LG15" s="390"/>
      <c r="LH15" s="390"/>
      <c r="LI15" s="390"/>
      <c r="LJ15" s="390"/>
      <c r="LK15" s="390"/>
      <c r="LL15" s="390"/>
      <c r="LM15" s="390"/>
      <c r="LN15" s="390"/>
      <c r="LO15" s="390"/>
      <c r="LP15" s="390"/>
      <c r="LQ15" s="390"/>
      <c r="LR15" s="390"/>
      <c r="LS15" s="390"/>
      <c r="LT15" s="390"/>
      <c r="LU15" s="390"/>
      <c r="LV15" s="390"/>
      <c r="LW15" s="390"/>
      <c r="LX15" s="390"/>
      <c r="LY15" s="390"/>
      <c r="LZ15" s="390"/>
      <c r="MA15" s="390"/>
      <c r="MB15" s="390"/>
      <c r="MC15" s="390"/>
      <c r="MD15" s="390"/>
      <c r="ME15" s="390"/>
      <c r="MF15" s="390"/>
      <c r="MG15" s="390"/>
      <c r="MH15" s="390"/>
      <c r="MI15" s="390"/>
      <c r="MJ15" s="390"/>
      <c r="MK15" s="390"/>
      <c r="ML15" s="390"/>
      <c r="MM15" s="390"/>
      <c r="MN15" s="390"/>
      <c r="MO15" s="390"/>
      <c r="MP15" s="390"/>
      <c r="MQ15" s="390"/>
      <c r="MR15" s="390"/>
      <c r="MS15" s="390"/>
      <c r="MT15" s="390"/>
      <c r="MU15" s="390"/>
      <c r="MV15" s="390"/>
      <c r="MW15" s="390"/>
      <c r="MX15" s="390"/>
      <c r="MY15" s="390"/>
      <c r="MZ15" s="390"/>
      <c r="NA15" s="390"/>
      <c r="NB15" s="390"/>
      <c r="NC15" s="390"/>
      <c r="ND15" s="390"/>
      <c r="NE15" s="390"/>
      <c r="NF15" s="390"/>
      <c r="NG15" s="390"/>
      <c r="NH15" s="390"/>
      <c r="NI15" s="390"/>
      <c r="NJ15" s="390"/>
      <c r="NK15" s="390"/>
      <c r="NL15" s="390"/>
      <c r="NM15" s="390"/>
      <c r="NN15" s="390"/>
      <c r="NO15" s="390"/>
      <c r="NP15" s="390"/>
      <c r="NQ15" s="390"/>
      <c r="NR15" s="390"/>
      <c r="NS15" s="390"/>
      <c r="NT15" s="390"/>
      <c r="NU15" s="390"/>
      <c r="NV15" s="390"/>
      <c r="NW15" s="390"/>
      <c r="NX15" s="390"/>
      <c r="NY15" s="390"/>
      <c r="NZ15" s="390"/>
      <c r="OA15" s="390"/>
      <c r="OB15" s="390"/>
      <c r="OC15" s="390"/>
      <c r="OD15" s="390"/>
      <c r="OE15" s="390"/>
      <c r="OF15" s="390"/>
      <c r="OG15" s="390"/>
      <c r="OH15" s="390"/>
      <c r="OI15" s="390"/>
      <c r="OJ15" s="390"/>
      <c r="OK15" s="390"/>
      <c r="OL15" s="390"/>
      <c r="OM15" s="390"/>
      <c r="ON15" s="390"/>
      <c r="OO15" s="390"/>
      <c r="OP15" s="390"/>
      <c r="OQ15" s="390"/>
      <c r="OR15" s="390"/>
      <c r="OS15" s="390"/>
      <c r="OT15" s="390"/>
      <c r="OU15" s="390"/>
      <c r="OV15" s="390"/>
      <c r="OW15" s="390"/>
      <c r="OX15" s="390"/>
      <c r="OY15" s="390"/>
      <c r="OZ15" s="390"/>
      <c r="PA15" s="390"/>
      <c r="PB15" s="390"/>
      <c r="PC15" s="390"/>
      <c r="PD15" s="390"/>
      <c r="PE15" s="390"/>
      <c r="PF15" s="390"/>
      <c r="PG15" s="390"/>
      <c r="PH15" s="390"/>
      <c r="PI15" s="390"/>
      <c r="PJ15" s="390"/>
      <c r="PK15" s="390"/>
      <c r="PL15" s="390"/>
      <c r="PM15" s="390"/>
      <c r="PN15" s="390"/>
      <c r="PO15" s="390"/>
      <c r="PP15" s="390"/>
      <c r="PQ15" s="390"/>
      <c r="PR15" s="390"/>
      <c r="PS15" s="390"/>
      <c r="PT15" s="390"/>
      <c r="PU15" s="390"/>
      <c r="PV15" s="390"/>
      <c r="PW15" s="390"/>
      <c r="PX15" s="390"/>
      <c r="PY15" s="390"/>
      <c r="PZ15" s="390"/>
      <c r="QA15" s="390"/>
      <c r="QB15" s="390"/>
      <c r="QC15" s="390"/>
      <c r="QD15" s="390"/>
      <c r="QE15" s="390"/>
      <c r="QF15" s="390"/>
      <c r="QG15" s="390"/>
      <c r="QH15" s="390"/>
      <c r="QI15" s="390"/>
      <c r="QJ15" s="390"/>
      <c r="QK15" s="390"/>
      <c r="QL15" s="390"/>
      <c r="QM15" s="390"/>
      <c r="QN15" s="390"/>
      <c r="QO15" s="390"/>
      <c r="QP15" s="390"/>
      <c r="QQ15" s="390"/>
      <c r="QR15" s="390"/>
      <c r="QS15" s="390"/>
      <c r="QT15" s="390"/>
      <c r="QU15" s="390"/>
      <c r="QV15" s="390"/>
      <c r="QW15" s="390"/>
      <c r="QX15" s="390"/>
      <c r="QY15" s="390"/>
      <c r="QZ15" s="390"/>
      <c r="RA15" s="390"/>
      <c r="RB15" s="390"/>
      <c r="RC15" s="390"/>
      <c r="RD15" s="390"/>
      <c r="RE15" s="390"/>
      <c r="RF15" s="390"/>
      <c r="RG15" s="390"/>
      <c r="RH15" s="390"/>
      <c r="RI15" s="390"/>
      <c r="RJ15" s="390"/>
      <c r="RK15" s="390"/>
      <c r="RL15" s="390"/>
      <c r="RM15" s="390"/>
      <c r="RN15" s="390"/>
      <c r="RO15" s="390"/>
      <c r="RP15" s="390"/>
      <c r="RQ15" s="390"/>
      <c r="RR15" s="390"/>
      <c r="RS15" s="390"/>
      <c r="RT15" s="390"/>
      <c r="RU15" s="390"/>
      <c r="RV15" s="390"/>
      <c r="RW15" s="390"/>
      <c r="RX15" s="390"/>
      <c r="RY15" s="390"/>
      <c r="RZ15" s="390"/>
      <c r="SA15" s="390"/>
      <c r="SB15" s="390"/>
      <c r="SC15" s="390"/>
      <c r="SD15" s="390"/>
      <c r="SE15" s="390"/>
      <c r="SF15" s="390"/>
      <c r="SG15" s="390"/>
      <c r="SH15" s="390"/>
      <c r="SI15" s="390"/>
      <c r="SJ15" s="390"/>
      <c r="SK15" s="390"/>
      <c r="SL15" s="390"/>
      <c r="SM15" s="390"/>
      <c r="SN15" s="390"/>
      <c r="SO15" s="390"/>
      <c r="SP15" s="390"/>
      <c r="SQ15" s="390"/>
      <c r="SR15" s="390"/>
      <c r="SS15" s="390"/>
      <c r="ST15" s="390"/>
      <c r="SU15" s="390"/>
      <c r="SV15" s="390"/>
      <c r="SW15" s="390"/>
      <c r="SX15" s="390"/>
      <c r="SY15" s="390"/>
      <c r="SZ15" s="390"/>
      <c r="TA15" s="390"/>
      <c r="TB15" s="390"/>
      <c r="TC15" s="390"/>
      <c r="TD15" s="390"/>
      <c r="TE15" s="390"/>
      <c r="TF15" s="390"/>
      <c r="TG15" s="390"/>
      <c r="TH15" s="390"/>
      <c r="TI15" s="390"/>
      <c r="TJ15" s="390"/>
      <c r="TK15" s="390"/>
      <c r="TL15" s="390"/>
      <c r="TM15" s="390"/>
      <c r="TN15" s="390"/>
      <c r="TO15" s="390"/>
      <c r="TP15" s="390"/>
      <c r="TQ15" s="390"/>
      <c r="TR15" s="390"/>
      <c r="TS15" s="390"/>
      <c r="TT15" s="390"/>
      <c r="TU15" s="390"/>
      <c r="TV15" s="390"/>
      <c r="TW15" s="390"/>
      <c r="TX15" s="390"/>
      <c r="TY15" s="390"/>
      <c r="TZ15" s="390"/>
      <c r="UA15" s="390"/>
      <c r="UB15" s="390"/>
      <c r="UC15" s="390"/>
      <c r="UD15" s="390"/>
      <c r="UE15" s="390"/>
      <c r="UF15" s="390"/>
      <c r="UG15" s="390"/>
      <c r="UH15" s="390"/>
      <c r="UI15" s="390"/>
      <c r="UJ15" s="390"/>
      <c r="UK15" s="390"/>
      <c r="UL15" s="390"/>
      <c r="UM15" s="390"/>
      <c r="UN15" s="390"/>
      <c r="UO15" s="390"/>
      <c r="UP15" s="390"/>
      <c r="UQ15" s="390"/>
      <c r="UR15" s="390"/>
      <c r="US15" s="390"/>
      <c r="UT15" s="390"/>
      <c r="UU15" s="390"/>
      <c r="UV15" s="390"/>
      <c r="UW15" s="390"/>
      <c r="UX15" s="390"/>
      <c r="UY15" s="390"/>
      <c r="UZ15" s="390"/>
      <c r="VA15" s="390"/>
      <c r="VB15" s="390"/>
      <c r="VC15" s="390"/>
      <c r="VD15" s="390"/>
      <c r="VE15" s="390"/>
      <c r="VF15" s="390"/>
      <c r="VG15" s="390"/>
      <c r="VH15" s="390"/>
      <c r="VI15" s="390"/>
      <c r="VJ15" s="390"/>
      <c r="VK15" s="390"/>
      <c r="VL15" s="390"/>
      <c r="VM15" s="390"/>
      <c r="VN15" s="390"/>
      <c r="VO15" s="390"/>
      <c r="VP15" s="390"/>
      <c r="VQ15" s="390"/>
      <c r="VR15" s="390"/>
      <c r="VS15" s="390"/>
      <c r="VT15" s="390"/>
      <c r="VU15" s="390"/>
      <c r="VV15" s="390"/>
      <c r="VW15" s="390"/>
      <c r="VX15" s="390"/>
      <c r="VY15" s="390"/>
      <c r="VZ15" s="390"/>
      <c r="WA15" s="390"/>
      <c r="WB15" s="390"/>
      <c r="WC15" s="390"/>
      <c r="WD15" s="390"/>
      <c r="WE15" s="390"/>
      <c r="WF15" s="390"/>
      <c r="WG15" s="390"/>
      <c r="WH15" s="390"/>
      <c r="WI15" s="390"/>
      <c r="WJ15" s="390"/>
      <c r="WK15" s="390"/>
      <c r="WL15" s="390"/>
      <c r="WM15" s="390"/>
      <c r="WN15" s="390"/>
      <c r="WO15" s="390"/>
      <c r="WP15" s="390"/>
      <c r="WQ15" s="390"/>
      <c r="WR15" s="390"/>
      <c r="WS15" s="390"/>
      <c r="WT15" s="390"/>
      <c r="WU15" s="390"/>
      <c r="WV15" s="390"/>
      <c r="WW15" s="390"/>
      <c r="WX15" s="390"/>
      <c r="WY15" s="390"/>
      <c r="WZ15" s="390"/>
      <c r="XA15" s="390"/>
      <c r="XB15" s="390"/>
      <c r="XC15" s="390"/>
      <c r="XD15" s="390"/>
      <c r="XE15" s="390"/>
      <c r="XF15" s="390"/>
      <c r="XG15" s="390"/>
      <c r="XH15" s="390"/>
      <c r="XI15" s="390"/>
      <c r="XJ15" s="390"/>
      <c r="XK15" s="390"/>
      <c r="XL15" s="390"/>
      <c r="XM15" s="390"/>
      <c r="XN15" s="390"/>
      <c r="XO15" s="390"/>
      <c r="XP15" s="390"/>
      <c r="XQ15" s="390"/>
      <c r="XR15" s="390"/>
      <c r="XS15" s="390"/>
      <c r="XT15" s="390"/>
      <c r="XU15" s="390"/>
      <c r="XV15" s="390"/>
      <c r="XW15" s="390"/>
      <c r="XX15" s="390"/>
      <c r="XY15" s="390"/>
      <c r="XZ15" s="390"/>
      <c r="YA15" s="390"/>
      <c r="YB15" s="390"/>
      <c r="YC15" s="390"/>
      <c r="YD15" s="390"/>
      <c r="YE15" s="390"/>
      <c r="YF15" s="390"/>
      <c r="YG15" s="390"/>
      <c r="YH15" s="390"/>
      <c r="YI15" s="390"/>
      <c r="YJ15" s="390"/>
      <c r="YK15" s="390"/>
      <c r="YL15" s="390"/>
      <c r="YM15" s="390"/>
      <c r="YN15" s="390"/>
      <c r="YO15" s="390"/>
      <c r="YP15" s="390"/>
      <c r="YQ15" s="390"/>
      <c r="YR15" s="390"/>
      <c r="YS15" s="390"/>
      <c r="YT15" s="390"/>
      <c r="YU15" s="390"/>
      <c r="YV15" s="390"/>
      <c r="YW15" s="390"/>
      <c r="YX15" s="390"/>
      <c r="YY15" s="390"/>
      <c r="YZ15" s="390"/>
      <c r="ZA15" s="390"/>
      <c r="ZB15" s="390"/>
      <c r="ZC15" s="390"/>
      <c r="ZD15" s="390"/>
      <c r="ZE15" s="390"/>
      <c r="ZF15" s="390"/>
      <c r="ZG15" s="390"/>
      <c r="ZH15" s="390"/>
      <c r="ZI15" s="390"/>
      <c r="ZJ15" s="390"/>
      <c r="ZK15" s="390"/>
      <c r="ZL15" s="390"/>
      <c r="ZM15" s="390"/>
      <c r="ZN15" s="390"/>
      <c r="ZO15" s="390"/>
      <c r="ZP15" s="390"/>
      <c r="ZQ15" s="390"/>
      <c r="ZR15" s="390"/>
      <c r="ZS15" s="390"/>
      <c r="ZT15" s="390"/>
      <c r="ZU15" s="390"/>
      <c r="ZV15" s="390"/>
      <c r="ZW15" s="390"/>
      <c r="ZX15" s="390"/>
      <c r="ZY15" s="390"/>
      <c r="ZZ15" s="390"/>
      <c r="AAA15" s="390"/>
      <c r="AAB15" s="390"/>
      <c r="AAC15" s="390"/>
      <c r="AAD15" s="390"/>
      <c r="AAE15" s="390"/>
      <c r="AAF15" s="390"/>
      <c r="AAG15" s="390"/>
      <c r="AAH15" s="390"/>
      <c r="AAI15" s="390"/>
      <c r="AAJ15" s="390"/>
      <c r="AAK15" s="390"/>
      <c r="AAL15" s="390"/>
      <c r="AAM15" s="390"/>
      <c r="AAN15" s="390"/>
      <c r="AAO15" s="390"/>
      <c r="AAP15" s="390"/>
      <c r="AAQ15" s="390"/>
      <c r="AAR15" s="390"/>
      <c r="AAS15" s="390"/>
      <c r="AAT15" s="390"/>
      <c r="AAU15" s="390"/>
      <c r="AAV15" s="390"/>
      <c r="AAW15" s="390"/>
      <c r="AAX15" s="390"/>
      <c r="AAY15" s="390"/>
      <c r="AAZ15" s="390"/>
      <c r="ABA15" s="390"/>
      <c r="ABB15" s="390"/>
      <c r="ABC15" s="390"/>
      <c r="ABD15" s="390"/>
      <c r="ABE15" s="390"/>
      <c r="ABF15" s="390"/>
      <c r="ABG15" s="390"/>
      <c r="ABH15" s="390"/>
      <c r="ABI15" s="390"/>
      <c r="ABJ15" s="390"/>
      <c r="ABK15" s="390"/>
      <c r="ABL15" s="390"/>
      <c r="ABM15" s="390"/>
      <c r="ABN15" s="390"/>
      <c r="ABO15" s="390"/>
      <c r="ABP15" s="390"/>
      <c r="ABQ15" s="390"/>
      <c r="ABR15" s="390"/>
      <c r="ABS15" s="390"/>
      <c r="ABT15" s="390"/>
      <c r="ABU15" s="390"/>
      <c r="ABV15" s="390"/>
      <c r="ABW15" s="390"/>
      <c r="ABX15" s="390"/>
      <c r="ABY15" s="390"/>
      <c r="ABZ15" s="390"/>
      <c r="ACA15" s="390"/>
      <c r="ACB15" s="390"/>
      <c r="ACC15" s="390"/>
      <c r="ACD15" s="390"/>
      <c r="ACE15" s="390"/>
      <c r="ACF15" s="390"/>
      <c r="ACG15" s="390"/>
      <c r="ACH15" s="390"/>
      <c r="ACI15" s="390"/>
      <c r="ACJ15" s="390"/>
      <c r="ACK15" s="390"/>
      <c r="ACL15" s="390"/>
      <c r="ACM15" s="390"/>
      <c r="ACN15" s="390"/>
      <c r="ACO15" s="390"/>
      <c r="ACP15" s="390"/>
      <c r="ACQ15" s="390"/>
      <c r="ACR15" s="390"/>
      <c r="ACS15" s="390"/>
      <c r="ACT15" s="390"/>
      <c r="ACU15" s="390"/>
      <c r="ACV15" s="390"/>
      <c r="ACW15" s="390"/>
      <c r="ACX15" s="390"/>
      <c r="ACY15" s="390"/>
      <c r="ACZ15" s="390"/>
      <c r="ADA15" s="390"/>
      <c r="ADB15" s="390"/>
      <c r="ADC15" s="390"/>
      <c r="ADD15" s="390"/>
      <c r="ADE15" s="390"/>
      <c r="ADF15" s="390"/>
      <c r="ADG15" s="390"/>
      <c r="ADH15" s="390"/>
      <c r="ADI15" s="390"/>
      <c r="ADJ15" s="390"/>
      <c r="ADK15" s="390"/>
      <c r="ADL15" s="390"/>
      <c r="ADM15" s="390"/>
      <c r="ADN15" s="390"/>
      <c r="ADO15" s="390"/>
      <c r="ADP15" s="390"/>
      <c r="ADQ15" s="390"/>
      <c r="ADR15" s="390"/>
      <c r="ADS15" s="390"/>
      <c r="ADT15" s="390"/>
      <c r="ADU15" s="390"/>
      <c r="ADV15" s="390"/>
      <c r="ADW15" s="390"/>
      <c r="ADX15" s="390"/>
      <c r="ADY15" s="390"/>
      <c r="ADZ15" s="390"/>
      <c r="AEA15" s="390"/>
      <c r="AEB15" s="390"/>
      <c r="AEC15" s="390"/>
      <c r="AED15" s="390"/>
      <c r="AEE15" s="390"/>
      <c r="AEF15" s="390"/>
      <c r="AEG15" s="390"/>
      <c r="AEH15" s="390"/>
      <c r="AEI15" s="390"/>
      <c r="AEJ15" s="390"/>
      <c r="AEK15" s="390"/>
      <c r="AEL15" s="390"/>
      <c r="AEM15" s="390"/>
      <c r="AEN15" s="390"/>
      <c r="AEO15" s="390"/>
      <c r="AEP15" s="390"/>
      <c r="AEQ15" s="390"/>
      <c r="AER15" s="390"/>
      <c r="AES15" s="390"/>
      <c r="AET15" s="390"/>
      <c r="AEU15" s="390"/>
      <c r="AEV15" s="390"/>
      <c r="AEW15" s="390"/>
      <c r="AEX15" s="390"/>
      <c r="AEY15" s="390"/>
      <c r="AEZ15" s="390"/>
      <c r="AFA15" s="390"/>
      <c r="AFB15" s="390"/>
      <c r="AFC15" s="390"/>
      <c r="AFD15" s="390"/>
      <c r="AFE15" s="390"/>
      <c r="AFF15" s="390"/>
      <c r="AFG15" s="390"/>
      <c r="AFH15" s="390"/>
      <c r="AFI15" s="390"/>
      <c r="AFJ15" s="390"/>
      <c r="AFK15" s="390"/>
      <c r="AFL15" s="390"/>
      <c r="AFM15" s="390"/>
      <c r="AFN15" s="390"/>
      <c r="AFO15" s="390"/>
      <c r="AFP15" s="390"/>
      <c r="AFQ15" s="390"/>
      <c r="AFR15" s="390"/>
      <c r="AFS15" s="390"/>
      <c r="AFT15" s="390"/>
      <c r="AFU15" s="390"/>
      <c r="AFV15" s="390"/>
      <c r="AFW15" s="390"/>
      <c r="AFX15" s="390"/>
      <c r="AFY15" s="390"/>
      <c r="AFZ15" s="390"/>
      <c r="AGA15" s="390"/>
      <c r="AGB15" s="390"/>
      <c r="AGC15" s="390"/>
      <c r="AGD15" s="390"/>
      <c r="AGE15" s="390"/>
      <c r="AGF15" s="390"/>
      <c r="AGG15" s="390"/>
      <c r="AGH15" s="390"/>
      <c r="AGI15" s="390"/>
      <c r="AGJ15" s="390"/>
      <c r="AGK15" s="390"/>
      <c r="AGL15" s="390"/>
      <c r="AGM15" s="390"/>
      <c r="AGN15" s="390"/>
      <c r="AGO15" s="390"/>
      <c r="AGP15" s="390"/>
      <c r="AGQ15" s="390"/>
      <c r="AGR15" s="390"/>
      <c r="AGS15" s="390"/>
      <c r="AGT15" s="390"/>
      <c r="AGU15" s="390"/>
      <c r="AGV15" s="390"/>
      <c r="AGW15" s="390"/>
      <c r="AGX15" s="390"/>
      <c r="AGY15" s="390"/>
      <c r="AGZ15" s="390"/>
      <c r="AHA15" s="390"/>
      <c r="AHB15" s="390"/>
      <c r="AHC15" s="390"/>
      <c r="AHD15" s="390"/>
      <c r="AHE15" s="390"/>
      <c r="AHF15" s="390"/>
      <c r="AHG15" s="390"/>
      <c r="AHH15" s="390"/>
      <c r="AHI15" s="390"/>
      <c r="AHJ15" s="390"/>
      <c r="AHK15" s="390"/>
      <c r="AHL15" s="390"/>
      <c r="AHM15" s="390"/>
      <c r="AHN15" s="390"/>
      <c r="AHO15" s="390"/>
      <c r="AHP15" s="390"/>
      <c r="AHQ15" s="390"/>
      <c r="AHR15" s="390"/>
      <c r="AHS15" s="390"/>
      <c r="AHT15" s="390"/>
      <c r="AHU15" s="390"/>
      <c r="AHV15" s="390"/>
      <c r="AHW15" s="390"/>
      <c r="AHX15" s="390"/>
      <c r="AHY15" s="390"/>
      <c r="AHZ15" s="390"/>
      <c r="AIA15" s="390"/>
      <c r="AIB15" s="390"/>
      <c r="AIC15" s="390"/>
      <c r="AID15" s="390"/>
      <c r="AIE15" s="390"/>
      <c r="AIF15" s="390"/>
      <c r="AIG15" s="390"/>
      <c r="AIH15" s="390"/>
      <c r="AII15" s="390"/>
      <c r="AIJ15" s="390"/>
      <c r="AIK15" s="390"/>
      <c r="AIL15" s="390"/>
      <c r="AIM15" s="390"/>
      <c r="AIN15" s="390"/>
      <c r="AIO15" s="390"/>
      <c r="AIP15" s="390"/>
      <c r="AIQ15" s="390"/>
      <c r="AIR15" s="390"/>
      <c r="AIS15" s="390"/>
      <c r="AIT15" s="390"/>
      <c r="AIU15" s="390"/>
      <c r="AIV15" s="390"/>
      <c r="AIW15" s="390"/>
      <c r="AIX15" s="390"/>
      <c r="AIY15" s="390"/>
      <c r="AIZ15" s="390"/>
      <c r="AJA15" s="390"/>
      <c r="AJB15" s="390"/>
      <c r="AJC15" s="390"/>
      <c r="AJD15" s="390"/>
      <c r="AJE15" s="390"/>
      <c r="AJF15" s="390"/>
      <c r="AJG15" s="390"/>
      <c r="AJH15" s="390"/>
      <c r="AJI15" s="390"/>
      <c r="AJJ15" s="390"/>
      <c r="AJK15" s="390"/>
      <c r="AJL15" s="390"/>
      <c r="AJM15" s="390"/>
      <c r="AJN15" s="390"/>
      <c r="AJO15" s="390"/>
      <c r="AJP15" s="390"/>
      <c r="AJQ15" s="390"/>
      <c r="AJR15" s="390"/>
      <c r="AJS15" s="390"/>
      <c r="AJT15" s="390"/>
      <c r="AJU15" s="390"/>
      <c r="AJV15" s="390"/>
      <c r="AJW15" s="390"/>
      <c r="AJX15" s="390"/>
      <c r="AJY15" s="390"/>
      <c r="AJZ15" s="390"/>
      <c r="AKA15" s="390"/>
      <c r="AKB15" s="390"/>
      <c r="AKC15" s="390"/>
      <c r="AKD15" s="390"/>
      <c r="AKE15" s="390"/>
      <c r="AKF15" s="390"/>
      <c r="AKG15" s="390"/>
      <c r="AKH15" s="390"/>
      <c r="AKI15" s="390"/>
      <c r="AKJ15" s="390"/>
      <c r="AKK15" s="390"/>
      <c r="AKL15" s="390"/>
      <c r="AKM15" s="390"/>
      <c r="AKN15" s="390"/>
      <c r="AKO15" s="390"/>
      <c r="AKP15" s="390"/>
      <c r="AKQ15" s="390"/>
      <c r="AKR15" s="390"/>
      <c r="AKS15" s="390"/>
      <c r="AKT15" s="390"/>
      <c r="AKU15" s="390"/>
      <c r="AKV15" s="390"/>
      <c r="AKW15" s="390"/>
      <c r="AKX15" s="390"/>
      <c r="AKY15" s="390"/>
      <c r="AKZ15" s="390"/>
      <c r="ALA15" s="390"/>
      <c r="ALB15" s="390"/>
      <c r="ALC15" s="390"/>
      <c r="ALD15" s="390"/>
      <c r="ALE15" s="390"/>
      <c r="ALF15" s="390"/>
      <c r="ALG15" s="390"/>
      <c r="ALH15" s="390"/>
      <c r="ALI15" s="390"/>
      <c r="ALJ15" s="390"/>
      <c r="ALK15" s="390"/>
      <c r="ALL15" s="390"/>
      <c r="ALM15" s="390"/>
      <c r="ALN15" s="390"/>
      <c r="ALO15" s="390"/>
      <c r="ALP15" s="390"/>
      <c r="ALQ15" s="390"/>
      <c r="ALR15" s="390"/>
      <c r="ALS15" s="390"/>
      <c r="ALT15" s="390"/>
      <c r="ALU15" s="390"/>
      <c r="ALV15" s="390"/>
      <c r="ALW15" s="390"/>
      <c r="ALX15" s="390"/>
      <c r="ALY15" s="390"/>
      <c r="ALZ15" s="390"/>
      <c r="AMA15" s="390"/>
      <c r="AMB15" s="390"/>
      <c r="AMC15" s="390"/>
      <c r="AMD15" s="390"/>
      <c r="AME15" s="390"/>
      <c r="AMF15" s="390"/>
      <c r="AMG15" s="390"/>
      <c r="AMH15" s="390"/>
      <c r="AMI15" s="390"/>
      <c r="AMJ15" s="390"/>
      <c r="AMK15" s="390"/>
    </row>
    <row r="16" s="378" customFormat="1" ht="28.05" customHeight="1" spans="1:8">
      <c r="A16" s="13"/>
      <c r="B16" s="13"/>
      <c r="C16" s="13"/>
      <c r="D16" s="13"/>
      <c r="E16" s="13"/>
      <c r="F16" s="13"/>
      <c r="G16" s="13"/>
      <c r="H16" s="13"/>
    </row>
    <row r="17" s="380" customFormat="1" ht="28.05" customHeight="1" spans="1:1025">
      <c r="A17" s="385" t="s">
        <v>20</v>
      </c>
      <c r="B17" s="387" t="str">
        <f>'Orçamento '!E28</f>
        <v>COBERTA/TELHADO</v>
      </c>
      <c r="C17" s="387"/>
      <c r="D17" s="387"/>
      <c r="E17" s="387"/>
      <c r="F17" s="387"/>
      <c r="G17" s="387"/>
      <c r="H17" s="388">
        <f>'Orçamento '!J28</f>
        <v>171117.46</v>
      </c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390"/>
      <c r="AQ17" s="390"/>
      <c r="AR17" s="390"/>
      <c r="AS17" s="390"/>
      <c r="AT17" s="390"/>
      <c r="AU17" s="390"/>
      <c r="AV17" s="390"/>
      <c r="AW17" s="390"/>
      <c r="AX17" s="390"/>
      <c r="AY17" s="390"/>
      <c r="AZ17" s="390"/>
      <c r="BA17" s="390"/>
      <c r="BB17" s="390"/>
      <c r="BC17" s="390"/>
      <c r="BD17" s="390"/>
      <c r="BE17" s="390"/>
      <c r="BF17" s="390"/>
      <c r="BG17" s="390"/>
      <c r="BH17" s="390"/>
      <c r="BI17" s="390"/>
      <c r="BJ17" s="390"/>
      <c r="BK17" s="390"/>
      <c r="BL17" s="390"/>
      <c r="BM17" s="390"/>
      <c r="BN17" s="390"/>
      <c r="BO17" s="390"/>
      <c r="BP17" s="390"/>
      <c r="BQ17" s="390"/>
      <c r="BR17" s="390"/>
      <c r="BS17" s="390"/>
      <c r="BT17" s="390"/>
      <c r="BU17" s="390"/>
      <c r="BV17" s="390"/>
      <c r="BW17" s="390"/>
      <c r="BX17" s="390"/>
      <c r="BY17" s="390"/>
      <c r="BZ17" s="390"/>
      <c r="CA17" s="390"/>
      <c r="CB17" s="390"/>
      <c r="CC17" s="390"/>
      <c r="CD17" s="390"/>
      <c r="CE17" s="390"/>
      <c r="CF17" s="390"/>
      <c r="CG17" s="390"/>
      <c r="CH17" s="390"/>
      <c r="CI17" s="390"/>
      <c r="CJ17" s="390"/>
      <c r="CK17" s="390"/>
      <c r="CL17" s="390"/>
      <c r="CM17" s="390"/>
      <c r="CN17" s="390"/>
      <c r="CO17" s="390"/>
      <c r="CP17" s="390"/>
      <c r="CQ17" s="390"/>
      <c r="CR17" s="390"/>
      <c r="CS17" s="390"/>
      <c r="CT17" s="390"/>
      <c r="CU17" s="390"/>
      <c r="CV17" s="390"/>
      <c r="CW17" s="390"/>
      <c r="CX17" s="390"/>
      <c r="CY17" s="390"/>
      <c r="CZ17" s="390"/>
      <c r="DA17" s="390"/>
      <c r="DB17" s="390"/>
      <c r="DC17" s="390"/>
      <c r="DD17" s="390"/>
      <c r="DE17" s="390"/>
      <c r="DF17" s="390"/>
      <c r="DG17" s="390"/>
      <c r="DH17" s="390"/>
      <c r="DI17" s="390"/>
      <c r="DJ17" s="390"/>
      <c r="DK17" s="390"/>
      <c r="DL17" s="390"/>
      <c r="DM17" s="390"/>
      <c r="DN17" s="390"/>
      <c r="DO17" s="390"/>
      <c r="DP17" s="390"/>
      <c r="DQ17" s="390"/>
      <c r="DR17" s="390"/>
      <c r="DS17" s="390"/>
      <c r="DT17" s="390"/>
      <c r="DU17" s="390"/>
      <c r="DV17" s="390"/>
      <c r="DW17" s="390"/>
      <c r="DX17" s="390"/>
      <c r="DY17" s="390"/>
      <c r="DZ17" s="390"/>
      <c r="EA17" s="390"/>
      <c r="EB17" s="390"/>
      <c r="EC17" s="390"/>
      <c r="ED17" s="390"/>
      <c r="EE17" s="390"/>
      <c r="EF17" s="390"/>
      <c r="EG17" s="390"/>
      <c r="EH17" s="390"/>
      <c r="EI17" s="390"/>
      <c r="EJ17" s="390"/>
      <c r="EK17" s="390"/>
      <c r="EL17" s="390"/>
      <c r="EM17" s="390"/>
      <c r="EN17" s="390"/>
      <c r="EO17" s="390"/>
      <c r="EP17" s="390"/>
      <c r="EQ17" s="390"/>
      <c r="ER17" s="390"/>
      <c r="ES17" s="390"/>
      <c r="ET17" s="390"/>
      <c r="EU17" s="390"/>
      <c r="EV17" s="390"/>
      <c r="EW17" s="390"/>
      <c r="EX17" s="390"/>
      <c r="EY17" s="390"/>
      <c r="EZ17" s="390"/>
      <c r="FA17" s="390"/>
      <c r="FB17" s="390"/>
      <c r="FC17" s="390"/>
      <c r="FD17" s="390"/>
      <c r="FE17" s="390"/>
      <c r="FF17" s="390"/>
      <c r="FG17" s="390"/>
      <c r="FH17" s="390"/>
      <c r="FI17" s="390"/>
      <c r="FJ17" s="390"/>
      <c r="FK17" s="390"/>
      <c r="FL17" s="390"/>
      <c r="FM17" s="390"/>
      <c r="FN17" s="390"/>
      <c r="FO17" s="390"/>
      <c r="FP17" s="390"/>
      <c r="FQ17" s="390"/>
      <c r="FR17" s="390"/>
      <c r="FS17" s="390"/>
      <c r="FT17" s="390"/>
      <c r="FU17" s="390"/>
      <c r="FV17" s="390"/>
      <c r="FW17" s="390"/>
      <c r="FX17" s="390"/>
      <c r="FY17" s="390"/>
      <c r="FZ17" s="390"/>
      <c r="GA17" s="390"/>
      <c r="GB17" s="390"/>
      <c r="GC17" s="390"/>
      <c r="GD17" s="390"/>
      <c r="GE17" s="390"/>
      <c r="GF17" s="390"/>
      <c r="GG17" s="390"/>
      <c r="GH17" s="390"/>
      <c r="GI17" s="390"/>
      <c r="GJ17" s="390"/>
      <c r="GK17" s="390"/>
      <c r="GL17" s="390"/>
      <c r="GM17" s="390"/>
      <c r="GN17" s="390"/>
      <c r="GO17" s="390"/>
      <c r="GP17" s="390"/>
      <c r="GQ17" s="390"/>
      <c r="GR17" s="390"/>
      <c r="GS17" s="390"/>
      <c r="GT17" s="390"/>
      <c r="GU17" s="390"/>
      <c r="GV17" s="390"/>
      <c r="GW17" s="390"/>
      <c r="GX17" s="390"/>
      <c r="GY17" s="390"/>
      <c r="GZ17" s="390"/>
      <c r="HA17" s="390"/>
      <c r="HB17" s="390"/>
      <c r="HC17" s="390"/>
      <c r="HD17" s="390"/>
      <c r="HE17" s="390"/>
      <c r="HF17" s="390"/>
      <c r="HG17" s="390"/>
      <c r="HH17" s="390"/>
      <c r="HI17" s="390"/>
      <c r="HJ17" s="390"/>
      <c r="HK17" s="390"/>
      <c r="HL17" s="390"/>
      <c r="HM17" s="390"/>
      <c r="HN17" s="390"/>
      <c r="HO17" s="390"/>
      <c r="HP17" s="390"/>
      <c r="HQ17" s="390"/>
      <c r="HR17" s="390"/>
      <c r="HS17" s="390"/>
      <c r="HT17" s="390"/>
      <c r="HU17" s="390"/>
      <c r="HV17" s="390"/>
      <c r="HW17" s="390"/>
      <c r="HX17" s="390"/>
      <c r="HY17" s="390"/>
      <c r="HZ17" s="390"/>
      <c r="IA17" s="390"/>
      <c r="IB17" s="390"/>
      <c r="IC17" s="390"/>
      <c r="ID17" s="390"/>
      <c r="IE17" s="390"/>
      <c r="IF17" s="390"/>
      <c r="IG17" s="390"/>
      <c r="IH17" s="390"/>
      <c r="II17" s="390"/>
      <c r="IJ17" s="390"/>
      <c r="IK17" s="390"/>
      <c r="IL17" s="390"/>
      <c r="IM17" s="390"/>
      <c r="IN17" s="390"/>
      <c r="IO17" s="390"/>
      <c r="IP17" s="390"/>
      <c r="IQ17" s="390"/>
      <c r="IR17" s="390"/>
      <c r="IS17" s="390"/>
      <c r="IT17" s="390"/>
      <c r="IU17" s="390"/>
      <c r="IV17" s="390"/>
      <c r="IW17" s="390"/>
      <c r="IX17" s="390"/>
      <c r="IY17" s="390"/>
      <c r="IZ17" s="390"/>
      <c r="JA17" s="390"/>
      <c r="JB17" s="390"/>
      <c r="JC17" s="390"/>
      <c r="JD17" s="390"/>
      <c r="JE17" s="390"/>
      <c r="JF17" s="390"/>
      <c r="JG17" s="390"/>
      <c r="JH17" s="390"/>
      <c r="JI17" s="390"/>
      <c r="JJ17" s="390"/>
      <c r="JK17" s="390"/>
      <c r="JL17" s="390"/>
      <c r="JM17" s="390"/>
      <c r="JN17" s="390"/>
      <c r="JO17" s="390"/>
      <c r="JP17" s="390"/>
      <c r="JQ17" s="390"/>
      <c r="JR17" s="390"/>
      <c r="JS17" s="390"/>
      <c r="JT17" s="390"/>
      <c r="JU17" s="390"/>
      <c r="JV17" s="390"/>
      <c r="JW17" s="390"/>
      <c r="JX17" s="390"/>
      <c r="JY17" s="390"/>
      <c r="JZ17" s="390"/>
      <c r="KA17" s="390"/>
      <c r="KB17" s="390"/>
      <c r="KC17" s="390"/>
      <c r="KD17" s="390"/>
      <c r="KE17" s="390"/>
      <c r="KF17" s="390"/>
      <c r="KG17" s="390"/>
      <c r="KH17" s="390"/>
      <c r="KI17" s="390"/>
      <c r="KJ17" s="390"/>
      <c r="KK17" s="390"/>
      <c r="KL17" s="390"/>
      <c r="KM17" s="390"/>
      <c r="KN17" s="390"/>
      <c r="KO17" s="390"/>
      <c r="KP17" s="390"/>
      <c r="KQ17" s="390"/>
      <c r="KR17" s="390"/>
      <c r="KS17" s="390"/>
      <c r="KT17" s="390"/>
      <c r="KU17" s="390"/>
      <c r="KV17" s="390"/>
      <c r="KW17" s="390"/>
      <c r="KX17" s="390"/>
      <c r="KY17" s="390"/>
      <c r="KZ17" s="390"/>
      <c r="LA17" s="390"/>
      <c r="LB17" s="390"/>
      <c r="LC17" s="390"/>
      <c r="LD17" s="390"/>
      <c r="LE17" s="390"/>
      <c r="LF17" s="390"/>
      <c r="LG17" s="390"/>
      <c r="LH17" s="390"/>
      <c r="LI17" s="390"/>
      <c r="LJ17" s="390"/>
      <c r="LK17" s="390"/>
      <c r="LL17" s="390"/>
      <c r="LM17" s="390"/>
      <c r="LN17" s="390"/>
      <c r="LO17" s="390"/>
      <c r="LP17" s="390"/>
      <c r="LQ17" s="390"/>
      <c r="LR17" s="390"/>
      <c r="LS17" s="390"/>
      <c r="LT17" s="390"/>
      <c r="LU17" s="390"/>
      <c r="LV17" s="390"/>
      <c r="LW17" s="390"/>
      <c r="LX17" s="390"/>
      <c r="LY17" s="390"/>
      <c r="LZ17" s="390"/>
      <c r="MA17" s="390"/>
      <c r="MB17" s="390"/>
      <c r="MC17" s="390"/>
      <c r="MD17" s="390"/>
      <c r="ME17" s="390"/>
      <c r="MF17" s="390"/>
      <c r="MG17" s="390"/>
      <c r="MH17" s="390"/>
      <c r="MI17" s="390"/>
      <c r="MJ17" s="390"/>
      <c r="MK17" s="390"/>
      <c r="ML17" s="390"/>
      <c r="MM17" s="390"/>
      <c r="MN17" s="390"/>
      <c r="MO17" s="390"/>
      <c r="MP17" s="390"/>
      <c r="MQ17" s="390"/>
      <c r="MR17" s="390"/>
      <c r="MS17" s="390"/>
      <c r="MT17" s="390"/>
      <c r="MU17" s="390"/>
      <c r="MV17" s="390"/>
      <c r="MW17" s="390"/>
      <c r="MX17" s="390"/>
      <c r="MY17" s="390"/>
      <c r="MZ17" s="390"/>
      <c r="NA17" s="390"/>
      <c r="NB17" s="390"/>
      <c r="NC17" s="390"/>
      <c r="ND17" s="390"/>
      <c r="NE17" s="390"/>
      <c r="NF17" s="390"/>
      <c r="NG17" s="390"/>
      <c r="NH17" s="390"/>
      <c r="NI17" s="390"/>
      <c r="NJ17" s="390"/>
      <c r="NK17" s="390"/>
      <c r="NL17" s="390"/>
      <c r="NM17" s="390"/>
      <c r="NN17" s="390"/>
      <c r="NO17" s="390"/>
      <c r="NP17" s="390"/>
      <c r="NQ17" s="390"/>
      <c r="NR17" s="390"/>
      <c r="NS17" s="390"/>
      <c r="NT17" s="390"/>
      <c r="NU17" s="390"/>
      <c r="NV17" s="390"/>
      <c r="NW17" s="390"/>
      <c r="NX17" s="390"/>
      <c r="NY17" s="390"/>
      <c r="NZ17" s="390"/>
      <c r="OA17" s="390"/>
      <c r="OB17" s="390"/>
      <c r="OC17" s="390"/>
      <c r="OD17" s="390"/>
      <c r="OE17" s="390"/>
      <c r="OF17" s="390"/>
      <c r="OG17" s="390"/>
      <c r="OH17" s="390"/>
      <c r="OI17" s="390"/>
      <c r="OJ17" s="390"/>
      <c r="OK17" s="390"/>
      <c r="OL17" s="390"/>
      <c r="OM17" s="390"/>
      <c r="ON17" s="390"/>
      <c r="OO17" s="390"/>
      <c r="OP17" s="390"/>
      <c r="OQ17" s="390"/>
      <c r="OR17" s="390"/>
      <c r="OS17" s="390"/>
      <c r="OT17" s="390"/>
      <c r="OU17" s="390"/>
      <c r="OV17" s="390"/>
      <c r="OW17" s="390"/>
      <c r="OX17" s="390"/>
      <c r="OY17" s="390"/>
      <c r="OZ17" s="390"/>
      <c r="PA17" s="390"/>
      <c r="PB17" s="390"/>
      <c r="PC17" s="390"/>
      <c r="PD17" s="390"/>
      <c r="PE17" s="390"/>
      <c r="PF17" s="390"/>
      <c r="PG17" s="390"/>
      <c r="PH17" s="390"/>
      <c r="PI17" s="390"/>
      <c r="PJ17" s="390"/>
      <c r="PK17" s="390"/>
      <c r="PL17" s="390"/>
      <c r="PM17" s="390"/>
      <c r="PN17" s="390"/>
      <c r="PO17" s="390"/>
      <c r="PP17" s="390"/>
      <c r="PQ17" s="390"/>
      <c r="PR17" s="390"/>
      <c r="PS17" s="390"/>
      <c r="PT17" s="390"/>
      <c r="PU17" s="390"/>
      <c r="PV17" s="390"/>
      <c r="PW17" s="390"/>
      <c r="PX17" s="390"/>
      <c r="PY17" s="390"/>
      <c r="PZ17" s="390"/>
      <c r="QA17" s="390"/>
      <c r="QB17" s="390"/>
      <c r="QC17" s="390"/>
      <c r="QD17" s="390"/>
      <c r="QE17" s="390"/>
      <c r="QF17" s="390"/>
      <c r="QG17" s="390"/>
      <c r="QH17" s="390"/>
      <c r="QI17" s="390"/>
      <c r="QJ17" s="390"/>
      <c r="QK17" s="390"/>
      <c r="QL17" s="390"/>
      <c r="QM17" s="390"/>
      <c r="QN17" s="390"/>
      <c r="QO17" s="390"/>
      <c r="QP17" s="390"/>
      <c r="QQ17" s="390"/>
      <c r="QR17" s="390"/>
      <c r="QS17" s="390"/>
      <c r="QT17" s="390"/>
      <c r="QU17" s="390"/>
      <c r="QV17" s="390"/>
      <c r="QW17" s="390"/>
      <c r="QX17" s="390"/>
      <c r="QY17" s="390"/>
      <c r="QZ17" s="390"/>
      <c r="RA17" s="390"/>
      <c r="RB17" s="390"/>
      <c r="RC17" s="390"/>
      <c r="RD17" s="390"/>
      <c r="RE17" s="390"/>
      <c r="RF17" s="390"/>
      <c r="RG17" s="390"/>
      <c r="RH17" s="390"/>
      <c r="RI17" s="390"/>
      <c r="RJ17" s="390"/>
      <c r="RK17" s="390"/>
      <c r="RL17" s="390"/>
      <c r="RM17" s="390"/>
      <c r="RN17" s="390"/>
      <c r="RO17" s="390"/>
      <c r="RP17" s="390"/>
      <c r="RQ17" s="390"/>
      <c r="RR17" s="390"/>
      <c r="RS17" s="390"/>
      <c r="RT17" s="390"/>
      <c r="RU17" s="390"/>
      <c r="RV17" s="390"/>
      <c r="RW17" s="390"/>
      <c r="RX17" s="390"/>
      <c r="RY17" s="390"/>
      <c r="RZ17" s="390"/>
      <c r="SA17" s="390"/>
      <c r="SB17" s="390"/>
      <c r="SC17" s="390"/>
      <c r="SD17" s="390"/>
      <c r="SE17" s="390"/>
      <c r="SF17" s="390"/>
      <c r="SG17" s="390"/>
      <c r="SH17" s="390"/>
      <c r="SI17" s="390"/>
      <c r="SJ17" s="390"/>
      <c r="SK17" s="390"/>
      <c r="SL17" s="390"/>
      <c r="SM17" s="390"/>
      <c r="SN17" s="390"/>
      <c r="SO17" s="390"/>
      <c r="SP17" s="390"/>
      <c r="SQ17" s="390"/>
      <c r="SR17" s="390"/>
      <c r="SS17" s="390"/>
      <c r="ST17" s="390"/>
      <c r="SU17" s="390"/>
      <c r="SV17" s="390"/>
      <c r="SW17" s="390"/>
      <c r="SX17" s="390"/>
      <c r="SY17" s="390"/>
      <c r="SZ17" s="390"/>
      <c r="TA17" s="390"/>
      <c r="TB17" s="390"/>
      <c r="TC17" s="390"/>
      <c r="TD17" s="390"/>
      <c r="TE17" s="390"/>
      <c r="TF17" s="390"/>
      <c r="TG17" s="390"/>
      <c r="TH17" s="390"/>
      <c r="TI17" s="390"/>
      <c r="TJ17" s="390"/>
      <c r="TK17" s="390"/>
      <c r="TL17" s="390"/>
      <c r="TM17" s="390"/>
      <c r="TN17" s="390"/>
      <c r="TO17" s="390"/>
      <c r="TP17" s="390"/>
      <c r="TQ17" s="390"/>
      <c r="TR17" s="390"/>
      <c r="TS17" s="390"/>
      <c r="TT17" s="390"/>
      <c r="TU17" s="390"/>
      <c r="TV17" s="390"/>
      <c r="TW17" s="390"/>
      <c r="TX17" s="390"/>
      <c r="TY17" s="390"/>
      <c r="TZ17" s="390"/>
      <c r="UA17" s="390"/>
      <c r="UB17" s="390"/>
      <c r="UC17" s="390"/>
      <c r="UD17" s="390"/>
      <c r="UE17" s="390"/>
      <c r="UF17" s="390"/>
      <c r="UG17" s="390"/>
      <c r="UH17" s="390"/>
      <c r="UI17" s="390"/>
      <c r="UJ17" s="390"/>
      <c r="UK17" s="390"/>
      <c r="UL17" s="390"/>
      <c r="UM17" s="390"/>
      <c r="UN17" s="390"/>
      <c r="UO17" s="390"/>
      <c r="UP17" s="390"/>
      <c r="UQ17" s="390"/>
      <c r="UR17" s="390"/>
      <c r="US17" s="390"/>
      <c r="UT17" s="390"/>
      <c r="UU17" s="390"/>
      <c r="UV17" s="390"/>
      <c r="UW17" s="390"/>
      <c r="UX17" s="390"/>
      <c r="UY17" s="390"/>
      <c r="UZ17" s="390"/>
      <c r="VA17" s="390"/>
      <c r="VB17" s="390"/>
      <c r="VC17" s="390"/>
      <c r="VD17" s="390"/>
      <c r="VE17" s="390"/>
      <c r="VF17" s="390"/>
      <c r="VG17" s="390"/>
      <c r="VH17" s="390"/>
      <c r="VI17" s="390"/>
      <c r="VJ17" s="390"/>
      <c r="VK17" s="390"/>
      <c r="VL17" s="390"/>
      <c r="VM17" s="390"/>
      <c r="VN17" s="390"/>
      <c r="VO17" s="390"/>
      <c r="VP17" s="390"/>
      <c r="VQ17" s="390"/>
      <c r="VR17" s="390"/>
      <c r="VS17" s="390"/>
      <c r="VT17" s="390"/>
      <c r="VU17" s="390"/>
      <c r="VV17" s="390"/>
      <c r="VW17" s="390"/>
      <c r="VX17" s="390"/>
      <c r="VY17" s="390"/>
      <c r="VZ17" s="390"/>
      <c r="WA17" s="390"/>
      <c r="WB17" s="390"/>
      <c r="WC17" s="390"/>
      <c r="WD17" s="390"/>
      <c r="WE17" s="390"/>
      <c r="WF17" s="390"/>
      <c r="WG17" s="390"/>
      <c r="WH17" s="390"/>
      <c r="WI17" s="390"/>
      <c r="WJ17" s="390"/>
      <c r="WK17" s="390"/>
      <c r="WL17" s="390"/>
      <c r="WM17" s="390"/>
      <c r="WN17" s="390"/>
      <c r="WO17" s="390"/>
      <c r="WP17" s="390"/>
      <c r="WQ17" s="390"/>
      <c r="WR17" s="390"/>
      <c r="WS17" s="390"/>
      <c r="WT17" s="390"/>
      <c r="WU17" s="390"/>
      <c r="WV17" s="390"/>
      <c r="WW17" s="390"/>
      <c r="WX17" s="390"/>
      <c r="WY17" s="390"/>
      <c r="WZ17" s="390"/>
      <c r="XA17" s="390"/>
      <c r="XB17" s="390"/>
      <c r="XC17" s="390"/>
      <c r="XD17" s="390"/>
      <c r="XE17" s="390"/>
      <c r="XF17" s="390"/>
      <c r="XG17" s="390"/>
      <c r="XH17" s="390"/>
      <c r="XI17" s="390"/>
      <c r="XJ17" s="390"/>
      <c r="XK17" s="390"/>
      <c r="XL17" s="390"/>
      <c r="XM17" s="390"/>
      <c r="XN17" s="390"/>
      <c r="XO17" s="390"/>
      <c r="XP17" s="390"/>
      <c r="XQ17" s="390"/>
      <c r="XR17" s="390"/>
      <c r="XS17" s="390"/>
      <c r="XT17" s="390"/>
      <c r="XU17" s="390"/>
      <c r="XV17" s="390"/>
      <c r="XW17" s="390"/>
      <c r="XX17" s="390"/>
      <c r="XY17" s="390"/>
      <c r="XZ17" s="390"/>
      <c r="YA17" s="390"/>
      <c r="YB17" s="390"/>
      <c r="YC17" s="390"/>
      <c r="YD17" s="390"/>
      <c r="YE17" s="390"/>
      <c r="YF17" s="390"/>
      <c r="YG17" s="390"/>
      <c r="YH17" s="390"/>
      <c r="YI17" s="390"/>
      <c r="YJ17" s="390"/>
      <c r="YK17" s="390"/>
      <c r="YL17" s="390"/>
      <c r="YM17" s="390"/>
      <c r="YN17" s="390"/>
      <c r="YO17" s="390"/>
      <c r="YP17" s="390"/>
      <c r="YQ17" s="390"/>
      <c r="YR17" s="390"/>
      <c r="YS17" s="390"/>
      <c r="YT17" s="390"/>
      <c r="YU17" s="390"/>
      <c r="YV17" s="390"/>
      <c r="YW17" s="390"/>
      <c r="YX17" s="390"/>
      <c r="YY17" s="390"/>
      <c r="YZ17" s="390"/>
      <c r="ZA17" s="390"/>
      <c r="ZB17" s="390"/>
      <c r="ZC17" s="390"/>
      <c r="ZD17" s="390"/>
      <c r="ZE17" s="390"/>
      <c r="ZF17" s="390"/>
      <c r="ZG17" s="390"/>
      <c r="ZH17" s="390"/>
      <c r="ZI17" s="390"/>
      <c r="ZJ17" s="390"/>
      <c r="ZK17" s="390"/>
      <c r="ZL17" s="390"/>
      <c r="ZM17" s="390"/>
      <c r="ZN17" s="390"/>
      <c r="ZO17" s="390"/>
      <c r="ZP17" s="390"/>
      <c r="ZQ17" s="390"/>
      <c r="ZR17" s="390"/>
      <c r="ZS17" s="390"/>
      <c r="ZT17" s="390"/>
      <c r="ZU17" s="390"/>
      <c r="ZV17" s="390"/>
      <c r="ZW17" s="390"/>
      <c r="ZX17" s="390"/>
      <c r="ZY17" s="390"/>
      <c r="ZZ17" s="390"/>
      <c r="AAA17" s="390"/>
      <c r="AAB17" s="390"/>
      <c r="AAC17" s="390"/>
      <c r="AAD17" s="390"/>
      <c r="AAE17" s="390"/>
      <c r="AAF17" s="390"/>
      <c r="AAG17" s="390"/>
      <c r="AAH17" s="390"/>
      <c r="AAI17" s="390"/>
      <c r="AAJ17" s="390"/>
      <c r="AAK17" s="390"/>
      <c r="AAL17" s="390"/>
      <c r="AAM17" s="390"/>
      <c r="AAN17" s="390"/>
      <c r="AAO17" s="390"/>
      <c r="AAP17" s="390"/>
      <c r="AAQ17" s="390"/>
      <c r="AAR17" s="390"/>
      <c r="AAS17" s="390"/>
      <c r="AAT17" s="390"/>
      <c r="AAU17" s="390"/>
      <c r="AAV17" s="390"/>
      <c r="AAW17" s="390"/>
      <c r="AAX17" s="390"/>
      <c r="AAY17" s="390"/>
      <c r="AAZ17" s="390"/>
      <c r="ABA17" s="390"/>
      <c r="ABB17" s="390"/>
      <c r="ABC17" s="390"/>
      <c r="ABD17" s="390"/>
      <c r="ABE17" s="390"/>
      <c r="ABF17" s="390"/>
      <c r="ABG17" s="390"/>
      <c r="ABH17" s="390"/>
      <c r="ABI17" s="390"/>
      <c r="ABJ17" s="390"/>
      <c r="ABK17" s="390"/>
      <c r="ABL17" s="390"/>
      <c r="ABM17" s="390"/>
      <c r="ABN17" s="390"/>
      <c r="ABO17" s="390"/>
      <c r="ABP17" s="390"/>
      <c r="ABQ17" s="390"/>
      <c r="ABR17" s="390"/>
      <c r="ABS17" s="390"/>
      <c r="ABT17" s="390"/>
      <c r="ABU17" s="390"/>
      <c r="ABV17" s="390"/>
      <c r="ABW17" s="390"/>
      <c r="ABX17" s="390"/>
      <c r="ABY17" s="390"/>
      <c r="ABZ17" s="390"/>
      <c r="ACA17" s="390"/>
      <c r="ACB17" s="390"/>
      <c r="ACC17" s="390"/>
      <c r="ACD17" s="390"/>
      <c r="ACE17" s="390"/>
      <c r="ACF17" s="390"/>
      <c r="ACG17" s="390"/>
      <c r="ACH17" s="390"/>
      <c r="ACI17" s="390"/>
      <c r="ACJ17" s="390"/>
      <c r="ACK17" s="390"/>
      <c r="ACL17" s="390"/>
      <c r="ACM17" s="390"/>
      <c r="ACN17" s="390"/>
      <c r="ACO17" s="390"/>
      <c r="ACP17" s="390"/>
      <c r="ACQ17" s="390"/>
      <c r="ACR17" s="390"/>
      <c r="ACS17" s="390"/>
      <c r="ACT17" s="390"/>
      <c r="ACU17" s="390"/>
      <c r="ACV17" s="390"/>
      <c r="ACW17" s="390"/>
      <c r="ACX17" s="390"/>
      <c r="ACY17" s="390"/>
      <c r="ACZ17" s="390"/>
      <c r="ADA17" s="390"/>
      <c r="ADB17" s="390"/>
      <c r="ADC17" s="390"/>
      <c r="ADD17" s="390"/>
      <c r="ADE17" s="390"/>
      <c r="ADF17" s="390"/>
      <c r="ADG17" s="390"/>
      <c r="ADH17" s="390"/>
      <c r="ADI17" s="390"/>
      <c r="ADJ17" s="390"/>
      <c r="ADK17" s="390"/>
      <c r="ADL17" s="390"/>
      <c r="ADM17" s="390"/>
      <c r="ADN17" s="390"/>
      <c r="ADO17" s="390"/>
      <c r="ADP17" s="390"/>
      <c r="ADQ17" s="390"/>
      <c r="ADR17" s="390"/>
      <c r="ADS17" s="390"/>
      <c r="ADT17" s="390"/>
      <c r="ADU17" s="390"/>
      <c r="ADV17" s="390"/>
      <c r="ADW17" s="390"/>
      <c r="ADX17" s="390"/>
      <c r="ADY17" s="390"/>
      <c r="ADZ17" s="390"/>
      <c r="AEA17" s="390"/>
      <c r="AEB17" s="390"/>
      <c r="AEC17" s="390"/>
      <c r="AED17" s="390"/>
      <c r="AEE17" s="390"/>
      <c r="AEF17" s="390"/>
      <c r="AEG17" s="390"/>
      <c r="AEH17" s="390"/>
      <c r="AEI17" s="390"/>
      <c r="AEJ17" s="390"/>
      <c r="AEK17" s="390"/>
      <c r="AEL17" s="390"/>
      <c r="AEM17" s="390"/>
      <c r="AEN17" s="390"/>
      <c r="AEO17" s="390"/>
      <c r="AEP17" s="390"/>
      <c r="AEQ17" s="390"/>
      <c r="AER17" s="390"/>
      <c r="AES17" s="390"/>
      <c r="AET17" s="390"/>
      <c r="AEU17" s="390"/>
      <c r="AEV17" s="390"/>
      <c r="AEW17" s="390"/>
      <c r="AEX17" s="390"/>
      <c r="AEY17" s="390"/>
      <c r="AEZ17" s="390"/>
      <c r="AFA17" s="390"/>
      <c r="AFB17" s="390"/>
      <c r="AFC17" s="390"/>
      <c r="AFD17" s="390"/>
      <c r="AFE17" s="390"/>
      <c r="AFF17" s="390"/>
      <c r="AFG17" s="390"/>
      <c r="AFH17" s="390"/>
      <c r="AFI17" s="390"/>
      <c r="AFJ17" s="390"/>
      <c r="AFK17" s="390"/>
      <c r="AFL17" s="390"/>
      <c r="AFM17" s="390"/>
      <c r="AFN17" s="390"/>
      <c r="AFO17" s="390"/>
      <c r="AFP17" s="390"/>
      <c r="AFQ17" s="390"/>
      <c r="AFR17" s="390"/>
      <c r="AFS17" s="390"/>
      <c r="AFT17" s="390"/>
      <c r="AFU17" s="390"/>
      <c r="AFV17" s="390"/>
      <c r="AFW17" s="390"/>
      <c r="AFX17" s="390"/>
      <c r="AFY17" s="390"/>
      <c r="AFZ17" s="390"/>
      <c r="AGA17" s="390"/>
      <c r="AGB17" s="390"/>
      <c r="AGC17" s="390"/>
      <c r="AGD17" s="390"/>
      <c r="AGE17" s="390"/>
      <c r="AGF17" s="390"/>
      <c r="AGG17" s="390"/>
      <c r="AGH17" s="390"/>
      <c r="AGI17" s="390"/>
      <c r="AGJ17" s="390"/>
      <c r="AGK17" s="390"/>
      <c r="AGL17" s="390"/>
      <c r="AGM17" s="390"/>
      <c r="AGN17" s="390"/>
      <c r="AGO17" s="390"/>
      <c r="AGP17" s="390"/>
      <c r="AGQ17" s="390"/>
      <c r="AGR17" s="390"/>
      <c r="AGS17" s="390"/>
      <c r="AGT17" s="390"/>
      <c r="AGU17" s="390"/>
      <c r="AGV17" s="390"/>
      <c r="AGW17" s="390"/>
      <c r="AGX17" s="390"/>
      <c r="AGY17" s="390"/>
      <c r="AGZ17" s="390"/>
      <c r="AHA17" s="390"/>
      <c r="AHB17" s="390"/>
      <c r="AHC17" s="390"/>
      <c r="AHD17" s="390"/>
      <c r="AHE17" s="390"/>
      <c r="AHF17" s="390"/>
      <c r="AHG17" s="390"/>
      <c r="AHH17" s="390"/>
      <c r="AHI17" s="390"/>
      <c r="AHJ17" s="390"/>
      <c r="AHK17" s="390"/>
      <c r="AHL17" s="390"/>
      <c r="AHM17" s="390"/>
      <c r="AHN17" s="390"/>
      <c r="AHO17" s="390"/>
      <c r="AHP17" s="390"/>
      <c r="AHQ17" s="390"/>
      <c r="AHR17" s="390"/>
      <c r="AHS17" s="390"/>
      <c r="AHT17" s="390"/>
      <c r="AHU17" s="390"/>
      <c r="AHV17" s="390"/>
      <c r="AHW17" s="390"/>
      <c r="AHX17" s="390"/>
      <c r="AHY17" s="390"/>
      <c r="AHZ17" s="390"/>
      <c r="AIA17" s="390"/>
      <c r="AIB17" s="390"/>
      <c r="AIC17" s="390"/>
      <c r="AID17" s="390"/>
      <c r="AIE17" s="390"/>
      <c r="AIF17" s="390"/>
      <c r="AIG17" s="390"/>
      <c r="AIH17" s="390"/>
      <c r="AII17" s="390"/>
      <c r="AIJ17" s="390"/>
      <c r="AIK17" s="390"/>
      <c r="AIL17" s="390"/>
      <c r="AIM17" s="390"/>
      <c r="AIN17" s="390"/>
      <c r="AIO17" s="390"/>
      <c r="AIP17" s="390"/>
      <c r="AIQ17" s="390"/>
      <c r="AIR17" s="390"/>
      <c r="AIS17" s="390"/>
      <c r="AIT17" s="390"/>
      <c r="AIU17" s="390"/>
      <c r="AIV17" s="390"/>
      <c r="AIW17" s="390"/>
      <c r="AIX17" s="390"/>
      <c r="AIY17" s="390"/>
      <c r="AIZ17" s="390"/>
      <c r="AJA17" s="390"/>
      <c r="AJB17" s="390"/>
      <c r="AJC17" s="390"/>
      <c r="AJD17" s="390"/>
      <c r="AJE17" s="390"/>
      <c r="AJF17" s="390"/>
      <c r="AJG17" s="390"/>
      <c r="AJH17" s="390"/>
      <c r="AJI17" s="390"/>
      <c r="AJJ17" s="390"/>
      <c r="AJK17" s="390"/>
      <c r="AJL17" s="390"/>
      <c r="AJM17" s="390"/>
      <c r="AJN17" s="390"/>
      <c r="AJO17" s="390"/>
      <c r="AJP17" s="390"/>
      <c r="AJQ17" s="390"/>
      <c r="AJR17" s="390"/>
      <c r="AJS17" s="390"/>
      <c r="AJT17" s="390"/>
      <c r="AJU17" s="390"/>
      <c r="AJV17" s="390"/>
      <c r="AJW17" s="390"/>
      <c r="AJX17" s="390"/>
      <c r="AJY17" s="390"/>
      <c r="AJZ17" s="390"/>
      <c r="AKA17" s="390"/>
      <c r="AKB17" s="390"/>
      <c r="AKC17" s="390"/>
      <c r="AKD17" s="390"/>
      <c r="AKE17" s="390"/>
      <c r="AKF17" s="390"/>
      <c r="AKG17" s="390"/>
      <c r="AKH17" s="390"/>
      <c r="AKI17" s="390"/>
      <c r="AKJ17" s="390"/>
      <c r="AKK17" s="390"/>
      <c r="AKL17" s="390"/>
      <c r="AKM17" s="390"/>
      <c r="AKN17" s="390"/>
      <c r="AKO17" s="390"/>
      <c r="AKP17" s="390"/>
      <c r="AKQ17" s="390"/>
      <c r="AKR17" s="390"/>
      <c r="AKS17" s="390"/>
      <c r="AKT17" s="390"/>
      <c r="AKU17" s="390"/>
      <c r="AKV17" s="390"/>
      <c r="AKW17" s="390"/>
      <c r="AKX17" s="390"/>
      <c r="AKY17" s="390"/>
      <c r="AKZ17" s="390"/>
      <c r="ALA17" s="390"/>
      <c r="ALB17" s="390"/>
      <c r="ALC17" s="390"/>
      <c r="ALD17" s="390"/>
      <c r="ALE17" s="390"/>
      <c r="ALF17" s="390"/>
      <c r="ALG17" s="390"/>
      <c r="ALH17" s="390"/>
      <c r="ALI17" s="390"/>
      <c r="ALJ17" s="390"/>
      <c r="ALK17" s="390"/>
      <c r="ALL17" s="390"/>
      <c r="ALM17" s="390"/>
      <c r="ALN17" s="390"/>
      <c r="ALO17" s="390"/>
      <c r="ALP17" s="390"/>
      <c r="ALQ17" s="390"/>
      <c r="ALR17" s="390"/>
      <c r="ALS17" s="390"/>
      <c r="ALT17" s="390"/>
      <c r="ALU17" s="390"/>
      <c r="ALV17" s="390"/>
      <c r="ALW17" s="390"/>
      <c r="ALX17" s="390"/>
      <c r="ALY17" s="390"/>
      <c r="ALZ17" s="390"/>
      <c r="AMA17" s="390"/>
      <c r="AMB17" s="390"/>
      <c r="AMC17" s="390"/>
      <c r="AMD17" s="390"/>
      <c r="AME17" s="390"/>
      <c r="AMF17" s="390"/>
      <c r="AMG17" s="390"/>
      <c r="AMH17" s="390"/>
      <c r="AMI17" s="390"/>
      <c r="AMJ17" s="390"/>
      <c r="AMK17" s="390"/>
    </row>
    <row r="18" s="378" customFormat="1" ht="28.05" customHeight="1" spans="1:8">
      <c r="A18" s="13"/>
      <c r="B18" s="13"/>
      <c r="C18" s="13"/>
      <c r="D18" s="13"/>
      <c r="E18" s="13"/>
      <c r="F18" s="13"/>
      <c r="G18" s="13"/>
      <c r="H18" s="13"/>
    </row>
    <row r="19" s="380" customFormat="1" ht="28.05" customHeight="1" spans="1:1025">
      <c r="A19" s="385" t="s">
        <v>21</v>
      </c>
      <c r="B19" s="386" t="str">
        <f>'Orçamento '!E37</f>
        <v>IMPERMEABILIZAÇÃO</v>
      </c>
      <c r="C19" s="387"/>
      <c r="D19" s="387"/>
      <c r="E19" s="387"/>
      <c r="F19" s="387"/>
      <c r="G19" s="387"/>
      <c r="H19" s="388">
        <f>'Orçamento '!J37</f>
        <v>10836.92</v>
      </c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  <c r="AT19" s="390"/>
      <c r="AU19" s="390"/>
      <c r="AV19" s="390"/>
      <c r="AW19" s="390"/>
      <c r="AX19" s="390"/>
      <c r="AY19" s="390"/>
      <c r="AZ19" s="390"/>
      <c r="BA19" s="390"/>
      <c r="BB19" s="390"/>
      <c r="BC19" s="390"/>
      <c r="BD19" s="390"/>
      <c r="BE19" s="390"/>
      <c r="BF19" s="390"/>
      <c r="BG19" s="390"/>
      <c r="BH19" s="390"/>
      <c r="BI19" s="390"/>
      <c r="BJ19" s="390"/>
      <c r="BK19" s="390"/>
      <c r="BL19" s="390"/>
      <c r="BM19" s="390"/>
      <c r="BN19" s="390"/>
      <c r="BO19" s="390"/>
      <c r="BP19" s="390"/>
      <c r="BQ19" s="390"/>
      <c r="BR19" s="390"/>
      <c r="BS19" s="390"/>
      <c r="BT19" s="390"/>
      <c r="BU19" s="390"/>
      <c r="BV19" s="390"/>
      <c r="BW19" s="390"/>
      <c r="BX19" s="390"/>
      <c r="BY19" s="390"/>
      <c r="BZ19" s="390"/>
      <c r="CA19" s="390"/>
      <c r="CB19" s="390"/>
      <c r="CC19" s="390"/>
      <c r="CD19" s="390"/>
      <c r="CE19" s="390"/>
      <c r="CF19" s="390"/>
      <c r="CG19" s="390"/>
      <c r="CH19" s="390"/>
      <c r="CI19" s="390"/>
      <c r="CJ19" s="390"/>
      <c r="CK19" s="390"/>
      <c r="CL19" s="390"/>
      <c r="CM19" s="390"/>
      <c r="CN19" s="390"/>
      <c r="CO19" s="390"/>
      <c r="CP19" s="390"/>
      <c r="CQ19" s="390"/>
      <c r="CR19" s="390"/>
      <c r="CS19" s="390"/>
      <c r="CT19" s="390"/>
      <c r="CU19" s="390"/>
      <c r="CV19" s="390"/>
      <c r="CW19" s="390"/>
      <c r="CX19" s="390"/>
      <c r="CY19" s="390"/>
      <c r="CZ19" s="390"/>
      <c r="DA19" s="390"/>
      <c r="DB19" s="390"/>
      <c r="DC19" s="390"/>
      <c r="DD19" s="390"/>
      <c r="DE19" s="390"/>
      <c r="DF19" s="390"/>
      <c r="DG19" s="390"/>
      <c r="DH19" s="390"/>
      <c r="DI19" s="390"/>
      <c r="DJ19" s="390"/>
      <c r="DK19" s="390"/>
      <c r="DL19" s="390"/>
      <c r="DM19" s="390"/>
      <c r="DN19" s="390"/>
      <c r="DO19" s="390"/>
      <c r="DP19" s="390"/>
      <c r="DQ19" s="390"/>
      <c r="DR19" s="390"/>
      <c r="DS19" s="390"/>
      <c r="DT19" s="390"/>
      <c r="DU19" s="390"/>
      <c r="DV19" s="390"/>
      <c r="DW19" s="390"/>
      <c r="DX19" s="390"/>
      <c r="DY19" s="390"/>
      <c r="DZ19" s="390"/>
      <c r="EA19" s="390"/>
      <c r="EB19" s="390"/>
      <c r="EC19" s="390"/>
      <c r="ED19" s="390"/>
      <c r="EE19" s="390"/>
      <c r="EF19" s="390"/>
      <c r="EG19" s="390"/>
      <c r="EH19" s="390"/>
      <c r="EI19" s="390"/>
      <c r="EJ19" s="390"/>
      <c r="EK19" s="390"/>
      <c r="EL19" s="390"/>
      <c r="EM19" s="390"/>
      <c r="EN19" s="390"/>
      <c r="EO19" s="390"/>
      <c r="EP19" s="390"/>
      <c r="EQ19" s="390"/>
      <c r="ER19" s="390"/>
      <c r="ES19" s="390"/>
      <c r="ET19" s="390"/>
      <c r="EU19" s="390"/>
      <c r="EV19" s="390"/>
      <c r="EW19" s="390"/>
      <c r="EX19" s="390"/>
      <c r="EY19" s="390"/>
      <c r="EZ19" s="390"/>
      <c r="FA19" s="390"/>
      <c r="FB19" s="390"/>
      <c r="FC19" s="390"/>
      <c r="FD19" s="390"/>
      <c r="FE19" s="390"/>
      <c r="FF19" s="390"/>
      <c r="FG19" s="390"/>
      <c r="FH19" s="390"/>
      <c r="FI19" s="390"/>
      <c r="FJ19" s="390"/>
      <c r="FK19" s="390"/>
      <c r="FL19" s="390"/>
      <c r="FM19" s="390"/>
      <c r="FN19" s="390"/>
      <c r="FO19" s="390"/>
      <c r="FP19" s="390"/>
      <c r="FQ19" s="390"/>
      <c r="FR19" s="390"/>
      <c r="FS19" s="390"/>
      <c r="FT19" s="390"/>
      <c r="FU19" s="390"/>
      <c r="FV19" s="390"/>
      <c r="FW19" s="390"/>
      <c r="FX19" s="390"/>
      <c r="FY19" s="390"/>
      <c r="FZ19" s="390"/>
      <c r="GA19" s="390"/>
      <c r="GB19" s="390"/>
      <c r="GC19" s="390"/>
      <c r="GD19" s="390"/>
      <c r="GE19" s="390"/>
      <c r="GF19" s="390"/>
      <c r="GG19" s="390"/>
      <c r="GH19" s="390"/>
      <c r="GI19" s="390"/>
      <c r="GJ19" s="390"/>
      <c r="GK19" s="390"/>
      <c r="GL19" s="390"/>
      <c r="GM19" s="390"/>
      <c r="GN19" s="390"/>
      <c r="GO19" s="390"/>
      <c r="GP19" s="390"/>
      <c r="GQ19" s="390"/>
      <c r="GR19" s="390"/>
      <c r="GS19" s="390"/>
      <c r="GT19" s="390"/>
      <c r="GU19" s="390"/>
      <c r="GV19" s="390"/>
      <c r="GW19" s="390"/>
      <c r="GX19" s="390"/>
      <c r="GY19" s="390"/>
      <c r="GZ19" s="390"/>
      <c r="HA19" s="390"/>
      <c r="HB19" s="390"/>
      <c r="HC19" s="390"/>
      <c r="HD19" s="390"/>
      <c r="HE19" s="390"/>
      <c r="HF19" s="390"/>
      <c r="HG19" s="390"/>
      <c r="HH19" s="390"/>
      <c r="HI19" s="390"/>
      <c r="HJ19" s="390"/>
      <c r="HK19" s="390"/>
      <c r="HL19" s="390"/>
      <c r="HM19" s="390"/>
      <c r="HN19" s="390"/>
      <c r="HO19" s="390"/>
      <c r="HP19" s="390"/>
      <c r="HQ19" s="390"/>
      <c r="HR19" s="390"/>
      <c r="HS19" s="390"/>
      <c r="HT19" s="390"/>
      <c r="HU19" s="390"/>
      <c r="HV19" s="390"/>
      <c r="HW19" s="390"/>
      <c r="HX19" s="390"/>
      <c r="HY19" s="390"/>
      <c r="HZ19" s="390"/>
      <c r="IA19" s="390"/>
      <c r="IB19" s="390"/>
      <c r="IC19" s="390"/>
      <c r="ID19" s="390"/>
      <c r="IE19" s="390"/>
      <c r="IF19" s="390"/>
      <c r="IG19" s="390"/>
      <c r="IH19" s="390"/>
      <c r="II19" s="390"/>
      <c r="IJ19" s="390"/>
      <c r="IK19" s="390"/>
      <c r="IL19" s="390"/>
      <c r="IM19" s="390"/>
      <c r="IN19" s="390"/>
      <c r="IO19" s="390"/>
      <c r="IP19" s="390"/>
      <c r="IQ19" s="390"/>
      <c r="IR19" s="390"/>
      <c r="IS19" s="390"/>
      <c r="IT19" s="390"/>
      <c r="IU19" s="390"/>
      <c r="IV19" s="390"/>
      <c r="IW19" s="390"/>
      <c r="IX19" s="390"/>
      <c r="IY19" s="390"/>
      <c r="IZ19" s="390"/>
      <c r="JA19" s="390"/>
      <c r="JB19" s="390"/>
      <c r="JC19" s="390"/>
      <c r="JD19" s="390"/>
      <c r="JE19" s="390"/>
      <c r="JF19" s="390"/>
      <c r="JG19" s="390"/>
      <c r="JH19" s="390"/>
      <c r="JI19" s="390"/>
      <c r="JJ19" s="390"/>
      <c r="JK19" s="390"/>
      <c r="JL19" s="390"/>
      <c r="JM19" s="390"/>
      <c r="JN19" s="390"/>
      <c r="JO19" s="390"/>
      <c r="JP19" s="390"/>
      <c r="JQ19" s="390"/>
      <c r="JR19" s="390"/>
      <c r="JS19" s="390"/>
      <c r="JT19" s="390"/>
      <c r="JU19" s="390"/>
      <c r="JV19" s="390"/>
      <c r="JW19" s="390"/>
      <c r="JX19" s="390"/>
      <c r="JY19" s="390"/>
      <c r="JZ19" s="390"/>
      <c r="KA19" s="390"/>
      <c r="KB19" s="390"/>
      <c r="KC19" s="390"/>
      <c r="KD19" s="390"/>
      <c r="KE19" s="390"/>
      <c r="KF19" s="390"/>
      <c r="KG19" s="390"/>
      <c r="KH19" s="390"/>
      <c r="KI19" s="390"/>
      <c r="KJ19" s="390"/>
      <c r="KK19" s="390"/>
      <c r="KL19" s="390"/>
      <c r="KM19" s="390"/>
      <c r="KN19" s="390"/>
      <c r="KO19" s="390"/>
      <c r="KP19" s="390"/>
      <c r="KQ19" s="390"/>
      <c r="KR19" s="390"/>
      <c r="KS19" s="390"/>
      <c r="KT19" s="390"/>
      <c r="KU19" s="390"/>
      <c r="KV19" s="390"/>
      <c r="KW19" s="390"/>
      <c r="KX19" s="390"/>
      <c r="KY19" s="390"/>
      <c r="KZ19" s="390"/>
      <c r="LA19" s="390"/>
      <c r="LB19" s="390"/>
      <c r="LC19" s="390"/>
      <c r="LD19" s="390"/>
      <c r="LE19" s="390"/>
      <c r="LF19" s="390"/>
      <c r="LG19" s="390"/>
      <c r="LH19" s="390"/>
      <c r="LI19" s="390"/>
      <c r="LJ19" s="390"/>
      <c r="LK19" s="390"/>
      <c r="LL19" s="390"/>
      <c r="LM19" s="390"/>
      <c r="LN19" s="390"/>
      <c r="LO19" s="390"/>
      <c r="LP19" s="390"/>
      <c r="LQ19" s="390"/>
      <c r="LR19" s="390"/>
      <c r="LS19" s="390"/>
      <c r="LT19" s="390"/>
      <c r="LU19" s="390"/>
      <c r="LV19" s="390"/>
      <c r="LW19" s="390"/>
      <c r="LX19" s="390"/>
      <c r="LY19" s="390"/>
      <c r="LZ19" s="390"/>
      <c r="MA19" s="390"/>
      <c r="MB19" s="390"/>
      <c r="MC19" s="390"/>
      <c r="MD19" s="390"/>
      <c r="ME19" s="390"/>
      <c r="MF19" s="390"/>
      <c r="MG19" s="390"/>
      <c r="MH19" s="390"/>
      <c r="MI19" s="390"/>
      <c r="MJ19" s="390"/>
      <c r="MK19" s="390"/>
      <c r="ML19" s="390"/>
      <c r="MM19" s="390"/>
      <c r="MN19" s="390"/>
      <c r="MO19" s="390"/>
      <c r="MP19" s="390"/>
      <c r="MQ19" s="390"/>
      <c r="MR19" s="390"/>
      <c r="MS19" s="390"/>
      <c r="MT19" s="390"/>
      <c r="MU19" s="390"/>
      <c r="MV19" s="390"/>
      <c r="MW19" s="390"/>
      <c r="MX19" s="390"/>
      <c r="MY19" s="390"/>
      <c r="MZ19" s="390"/>
      <c r="NA19" s="390"/>
      <c r="NB19" s="390"/>
      <c r="NC19" s="390"/>
      <c r="ND19" s="390"/>
      <c r="NE19" s="390"/>
      <c r="NF19" s="390"/>
      <c r="NG19" s="390"/>
      <c r="NH19" s="390"/>
      <c r="NI19" s="390"/>
      <c r="NJ19" s="390"/>
      <c r="NK19" s="390"/>
      <c r="NL19" s="390"/>
      <c r="NM19" s="390"/>
      <c r="NN19" s="390"/>
      <c r="NO19" s="390"/>
      <c r="NP19" s="390"/>
      <c r="NQ19" s="390"/>
      <c r="NR19" s="390"/>
      <c r="NS19" s="390"/>
      <c r="NT19" s="390"/>
      <c r="NU19" s="390"/>
      <c r="NV19" s="390"/>
      <c r="NW19" s="390"/>
      <c r="NX19" s="390"/>
      <c r="NY19" s="390"/>
      <c r="NZ19" s="390"/>
      <c r="OA19" s="390"/>
      <c r="OB19" s="390"/>
      <c r="OC19" s="390"/>
      <c r="OD19" s="390"/>
      <c r="OE19" s="390"/>
      <c r="OF19" s="390"/>
      <c r="OG19" s="390"/>
      <c r="OH19" s="390"/>
      <c r="OI19" s="390"/>
      <c r="OJ19" s="390"/>
      <c r="OK19" s="390"/>
      <c r="OL19" s="390"/>
      <c r="OM19" s="390"/>
      <c r="ON19" s="390"/>
      <c r="OO19" s="390"/>
      <c r="OP19" s="390"/>
      <c r="OQ19" s="390"/>
      <c r="OR19" s="390"/>
      <c r="OS19" s="390"/>
      <c r="OT19" s="390"/>
      <c r="OU19" s="390"/>
      <c r="OV19" s="390"/>
      <c r="OW19" s="390"/>
      <c r="OX19" s="390"/>
      <c r="OY19" s="390"/>
      <c r="OZ19" s="390"/>
      <c r="PA19" s="390"/>
      <c r="PB19" s="390"/>
      <c r="PC19" s="390"/>
      <c r="PD19" s="390"/>
      <c r="PE19" s="390"/>
      <c r="PF19" s="390"/>
      <c r="PG19" s="390"/>
      <c r="PH19" s="390"/>
      <c r="PI19" s="390"/>
      <c r="PJ19" s="390"/>
      <c r="PK19" s="390"/>
      <c r="PL19" s="390"/>
      <c r="PM19" s="390"/>
      <c r="PN19" s="390"/>
      <c r="PO19" s="390"/>
      <c r="PP19" s="390"/>
      <c r="PQ19" s="390"/>
      <c r="PR19" s="390"/>
      <c r="PS19" s="390"/>
      <c r="PT19" s="390"/>
      <c r="PU19" s="390"/>
      <c r="PV19" s="390"/>
      <c r="PW19" s="390"/>
      <c r="PX19" s="390"/>
      <c r="PY19" s="390"/>
      <c r="PZ19" s="390"/>
      <c r="QA19" s="390"/>
      <c r="QB19" s="390"/>
      <c r="QC19" s="390"/>
      <c r="QD19" s="390"/>
      <c r="QE19" s="390"/>
      <c r="QF19" s="390"/>
      <c r="QG19" s="390"/>
      <c r="QH19" s="390"/>
      <c r="QI19" s="390"/>
      <c r="QJ19" s="390"/>
      <c r="QK19" s="390"/>
      <c r="QL19" s="390"/>
      <c r="QM19" s="390"/>
      <c r="QN19" s="390"/>
      <c r="QO19" s="390"/>
      <c r="QP19" s="390"/>
      <c r="QQ19" s="390"/>
      <c r="QR19" s="390"/>
      <c r="QS19" s="390"/>
      <c r="QT19" s="390"/>
      <c r="QU19" s="390"/>
      <c r="QV19" s="390"/>
      <c r="QW19" s="390"/>
      <c r="QX19" s="390"/>
      <c r="QY19" s="390"/>
      <c r="QZ19" s="390"/>
      <c r="RA19" s="390"/>
      <c r="RB19" s="390"/>
      <c r="RC19" s="390"/>
      <c r="RD19" s="390"/>
      <c r="RE19" s="390"/>
      <c r="RF19" s="390"/>
      <c r="RG19" s="390"/>
      <c r="RH19" s="390"/>
      <c r="RI19" s="390"/>
      <c r="RJ19" s="390"/>
      <c r="RK19" s="390"/>
      <c r="RL19" s="390"/>
      <c r="RM19" s="390"/>
      <c r="RN19" s="390"/>
      <c r="RO19" s="390"/>
      <c r="RP19" s="390"/>
      <c r="RQ19" s="390"/>
      <c r="RR19" s="390"/>
      <c r="RS19" s="390"/>
      <c r="RT19" s="390"/>
      <c r="RU19" s="390"/>
      <c r="RV19" s="390"/>
      <c r="RW19" s="390"/>
      <c r="RX19" s="390"/>
      <c r="RY19" s="390"/>
      <c r="RZ19" s="390"/>
      <c r="SA19" s="390"/>
      <c r="SB19" s="390"/>
      <c r="SC19" s="390"/>
      <c r="SD19" s="390"/>
      <c r="SE19" s="390"/>
      <c r="SF19" s="390"/>
      <c r="SG19" s="390"/>
      <c r="SH19" s="390"/>
      <c r="SI19" s="390"/>
      <c r="SJ19" s="390"/>
      <c r="SK19" s="390"/>
      <c r="SL19" s="390"/>
      <c r="SM19" s="390"/>
      <c r="SN19" s="390"/>
      <c r="SO19" s="390"/>
      <c r="SP19" s="390"/>
      <c r="SQ19" s="390"/>
      <c r="SR19" s="390"/>
      <c r="SS19" s="390"/>
      <c r="ST19" s="390"/>
      <c r="SU19" s="390"/>
      <c r="SV19" s="390"/>
      <c r="SW19" s="390"/>
      <c r="SX19" s="390"/>
      <c r="SY19" s="390"/>
      <c r="SZ19" s="390"/>
      <c r="TA19" s="390"/>
      <c r="TB19" s="390"/>
      <c r="TC19" s="390"/>
      <c r="TD19" s="390"/>
      <c r="TE19" s="390"/>
      <c r="TF19" s="390"/>
      <c r="TG19" s="390"/>
      <c r="TH19" s="390"/>
      <c r="TI19" s="390"/>
      <c r="TJ19" s="390"/>
      <c r="TK19" s="390"/>
      <c r="TL19" s="390"/>
      <c r="TM19" s="390"/>
      <c r="TN19" s="390"/>
      <c r="TO19" s="390"/>
      <c r="TP19" s="390"/>
      <c r="TQ19" s="390"/>
      <c r="TR19" s="390"/>
      <c r="TS19" s="390"/>
      <c r="TT19" s="390"/>
      <c r="TU19" s="390"/>
      <c r="TV19" s="390"/>
      <c r="TW19" s="390"/>
      <c r="TX19" s="390"/>
      <c r="TY19" s="390"/>
      <c r="TZ19" s="390"/>
      <c r="UA19" s="390"/>
      <c r="UB19" s="390"/>
      <c r="UC19" s="390"/>
      <c r="UD19" s="390"/>
      <c r="UE19" s="390"/>
      <c r="UF19" s="390"/>
      <c r="UG19" s="390"/>
      <c r="UH19" s="390"/>
      <c r="UI19" s="390"/>
      <c r="UJ19" s="390"/>
      <c r="UK19" s="390"/>
      <c r="UL19" s="390"/>
      <c r="UM19" s="390"/>
      <c r="UN19" s="390"/>
      <c r="UO19" s="390"/>
      <c r="UP19" s="390"/>
      <c r="UQ19" s="390"/>
      <c r="UR19" s="390"/>
      <c r="US19" s="390"/>
      <c r="UT19" s="390"/>
      <c r="UU19" s="390"/>
      <c r="UV19" s="390"/>
      <c r="UW19" s="390"/>
      <c r="UX19" s="390"/>
      <c r="UY19" s="390"/>
      <c r="UZ19" s="390"/>
      <c r="VA19" s="390"/>
      <c r="VB19" s="390"/>
      <c r="VC19" s="390"/>
      <c r="VD19" s="390"/>
      <c r="VE19" s="390"/>
      <c r="VF19" s="390"/>
      <c r="VG19" s="390"/>
      <c r="VH19" s="390"/>
      <c r="VI19" s="390"/>
      <c r="VJ19" s="390"/>
      <c r="VK19" s="390"/>
      <c r="VL19" s="390"/>
      <c r="VM19" s="390"/>
      <c r="VN19" s="390"/>
      <c r="VO19" s="390"/>
      <c r="VP19" s="390"/>
      <c r="VQ19" s="390"/>
      <c r="VR19" s="390"/>
      <c r="VS19" s="390"/>
      <c r="VT19" s="390"/>
      <c r="VU19" s="390"/>
      <c r="VV19" s="390"/>
      <c r="VW19" s="390"/>
      <c r="VX19" s="390"/>
      <c r="VY19" s="390"/>
      <c r="VZ19" s="390"/>
      <c r="WA19" s="390"/>
      <c r="WB19" s="390"/>
      <c r="WC19" s="390"/>
      <c r="WD19" s="390"/>
      <c r="WE19" s="390"/>
      <c r="WF19" s="390"/>
      <c r="WG19" s="390"/>
      <c r="WH19" s="390"/>
      <c r="WI19" s="390"/>
      <c r="WJ19" s="390"/>
      <c r="WK19" s="390"/>
      <c r="WL19" s="390"/>
      <c r="WM19" s="390"/>
      <c r="WN19" s="390"/>
      <c r="WO19" s="390"/>
      <c r="WP19" s="390"/>
      <c r="WQ19" s="390"/>
      <c r="WR19" s="390"/>
      <c r="WS19" s="390"/>
      <c r="WT19" s="390"/>
      <c r="WU19" s="390"/>
      <c r="WV19" s="390"/>
      <c r="WW19" s="390"/>
      <c r="WX19" s="390"/>
      <c r="WY19" s="390"/>
      <c r="WZ19" s="390"/>
      <c r="XA19" s="390"/>
      <c r="XB19" s="390"/>
      <c r="XC19" s="390"/>
      <c r="XD19" s="390"/>
      <c r="XE19" s="390"/>
      <c r="XF19" s="390"/>
      <c r="XG19" s="390"/>
      <c r="XH19" s="390"/>
      <c r="XI19" s="390"/>
      <c r="XJ19" s="390"/>
      <c r="XK19" s="390"/>
      <c r="XL19" s="390"/>
      <c r="XM19" s="390"/>
      <c r="XN19" s="390"/>
      <c r="XO19" s="390"/>
      <c r="XP19" s="390"/>
      <c r="XQ19" s="390"/>
      <c r="XR19" s="390"/>
      <c r="XS19" s="390"/>
      <c r="XT19" s="390"/>
      <c r="XU19" s="390"/>
      <c r="XV19" s="390"/>
      <c r="XW19" s="390"/>
      <c r="XX19" s="390"/>
      <c r="XY19" s="390"/>
      <c r="XZ19" s="390"/>
      <c r="YA19" s="390"/>
      <c r="YB19" s="390"/>
      <c r="YC19" s="390"/>
      <c r="YD19" s="390"/>
      <c r="YE19" s="390"/>
      <c r="YF19" s="390"/>
      <c r="YG19" s="390"/>
      <c r="YH19" s="390"/>
      <c r="YI19" s="390"/>
      <c r="YJ19" s="390"/>
      <c r="YK19" s="390"/>
      <c r="YL19" s="390"/>
      <c r="YM19" s="390"/>
      <c r="YN19" s="390"/>
      <c r="YO19" s="390"/>
      <c r="YP19" s="390"/>
      <c r="YQ19" s="390"/>
      <c r="YR19" s="390"/>
      <c r="YS19" s="390"/>
      <c r="YT19" s="390"/>
      <c r="YU19" s="390"/>
      <c r="YV19" s="390"/>
      <c r="YW19" s="390"/>
      <c r="YX19" s="390"/>
      <c r="YY19" s="390"/>
      <c r="YZ19" s="390"/>
      <c r="ZA19" s="390"/>
      <c r="ZB19" s="390"/>
      <c r="ZC19" s="390"/>
      <c r="ZD19" s="390"/>
      <c r="ZE19" s="390"/>
      <c r="ZF19" s="390"/>
      <c r="ZG19" s="390"/>
      <c r="ZH19" s="390"/>
      <c r="ZI19" s="390"/>
      <c r="ZJ19" s="390"/>
      <c r="ZK19" s="390"/>
      <c r="ZL19" s="390"/>
      <c r="ZM19" s="390"/>
      <c r="ZN19" s="390"/>
      <c r="ZO19" s="390"/>
      <c r="ZP19" s="390"/>
      <c r="ZQ19" s="390"/>
      <c r="ZR19" s="390"/>
      <c r="ZS19" s="390"/>
      <c r="ZT19" s="390"/>
      <c r="ZU19" s="390"/>
      <c r="ZV19" s="390"/>
      <c r="ZW19" s="390"/>
      <c r="ZX19" s="390"/>
      <c r="ZY19" s="390"/>
      <c r="ZZ19" s="390"/>
      <c r="AAA19" s="390"/>
      <c r="AAB19" s="390"/>
      <c r="AAC19" s="390"/>
      <c r="AAD19" s="390"/>
      <c r="AAE19" s="390"/>
      <c r="AAF19" s="390"/>
      <c r="AAG19" s="390"/>
      <c r="AAH19" s="390"/>
      <c r="AAI19" s="390"/>
      <c r="AAJ19" s="390"/>
      <c r="AAK19" s="390"/>
      <c r="AAL19" s="390"/>
      <c r="AAM19" s="390"/>
      <c r="AAN19" s="390"/>
      <c r="AAO19" s="390"/>
      <c r="AAP19" s="390"/>
      <c r="AAQ19" s="390"/>
      <c r="AAR19" s="390"/>
      <c r="AAS19" s="390"/>
      <c r="AAT19" s="390"/>
      <c r="AAU19" s="390"/>
      <c r="AAV19" s="390"/>
      <c r="AAW19" s="390"/>
      <c r="AAX19" s="390"/>
      <c r="AAY19" s="390"/>
      <c r="AAZ19" s="390"/>
      <c r="ABA19" s="390"/>
      <c r="ABB19" s="390"/>
      <c r="ABC19" s="390"/>
      <c r="ABD19" s="390"/>
      <c r="ABE19" s="390"/>
      <c r="ABF19" s="390"/>
      <c r="ABG19" s="390"/>
      <c r="ABH19" s="390"/>
      <c r="ABI19" s="390"/>
      <c r="ABJ19" s="390"/>
      <c r="ABK19" s="390"/>
      <c r="ABL19" s="390"/>
      <c r="ABM19" s="390"/>
      <c r="ABN19" s="390"/>
      <c r="ABO19" s="390"/>
      <c r="ABP19" s="390"/>
      <c r="ABQ19" s="390"/>
      <c r="ABR19" s="390"/>
      <c r="ABS19" s="390"/>
      <c r="ABT19" s="390"/>
      <c r="ABU19" s="390"/>
      <c r="ABV19" s="390"/>
      <c r="ABW19" s="390"/>
      <c r="ABX19" s="390"/>
      <c r="ABY19" s="390"/>
      <c r="ABZ19" s="390"/>
      <c r="ACA19" s="390"/>
      <c r="ACB19" s="390"/>
      <c r="ACC19" s="390"/>
      <c r="ACD19" s="390"/>
      <c r="ACE19" s="390"/>
      <c r="ACF19" s="390"/>
      <c r="ACG19" s="390"/>
      <c r="ACH19" s="390"/>
      <c r="ACI19" s="390"/>
      <c r="ACJ19" s="390"/>
      <c r="ACK19" s="390"/>
      <c r="ACL19" s="390"/>
      <c r="ACM19" s="390"/>
      <c r="ACN19" s="390"/>
      <c r="ACO19" s="390"/>
      <c r="ACP19" s="390"/>
      <c r="ACQ19" s="390"/>
      <c r="ACR19" s="390"/>
      <c r="ACS19" s="390"/>
      <c r="ACT19" s="390"/>
      <c r="ACU19" s="390"/>
      <c r="ACV19" s="390"/>
      <c r="ACW19" s="390"/>
      <c r="ACX19" s="390"/>
      <c r="ACY19" s="390"/>
      <c r="ACZ19" s="390"/>
      <c r="ADA19" s="390"/>
      <c r="ADB19" s="390"/>
      <c r="ADC19" s="390"/>
      <c r="ADD19" s="390"/>
      <c r="ADE19" s="390"/>
      <c r="ADF19" s="390"/>
      <c r="ADG19" s="390"/>
      <c r="ADH19" s="390"/>
      <c r="ADI19" s="390"/>
      <c r="ADJ19" s="390"/>
      <c r="ADK19" s="390"/>
      <c r="ADL19" s="390"/>
      <c r="ADM19" s="390"/>
      <c r="ADN19" s="390"/>
      <c r="ADO19" s="390"/>
      <c r="ADP19" s="390"/>
      <c r="ADQ19" s="390"/>
      <c r="ADR19" s="390"/>
      <c r="ADS19" s="390"/>
      <c r="ADT19" s="390"/>
      <c r="ADU19" s="390"/>
      <c r="ADV19" s="390"/>
      <c r="ADW19" s="390"/>
      <c r="ADX19" s="390"/>
      <c r="ADY19" s="390"/>
      <c r="ADZ19" s="390"/>
      <c r="AEA19" s="390"/>
      <c r="AEB19" s="390"/>
      <c r="AEC19" s="390"/>
      <c r="AED19" s="390"/>
      <c r="AEE19" s="390"/>
      <c r="AEF19" s="390"/>
      <c r="AEG19" s="390"/>
      <c r="AEH19" s="390"/>
      <c r="AEI19" s="390"/>
      <c r="AEJ19" s="390"/>
      <c r="AEK19" s="390"/>
      <c r="AEL19" s="390"/>
      <c r="AEM19" s="390"/>
      <c r="AEN19" s="390"/>
      <c r="AEO19" s="390"/>
      <c r="AEP19" s="390"/>
      <c r="AEQ19" s="390"/>
      <c r="AER19" s="390"/>
      <c r="AES19" s="390"/>
      <c r="AET19" s="390"/>
      <c r="AEU19" s="390"/>
      <c r="AEV19" s="390"/>
      <c r="AEW19" s="390"/>
      <c r="AEX19" s="390"/>
      <c r="AEY19" s="390"/>
      <c r="AEZ19" s="390"/>
      <c r="AFA19" s="390"/>
      <c r="AFB19" s="390"/>
      <c r="AFC19" s="390"/>
      <c r="AFD19" s="390"/>
      <c r="AFE19" s="390"/>
      <c r="AFF19" s="390"/>
      <c r="AFG19" s="390"/>
      <c r="AFH19" s="390"/>
      <c r="AFI19" s="390"/>
      <c r="AFJ19" s="390"/>
      <c r="AFK19" s="390"/>
      <c r="AFL19" s="390"/>
      <c r="AFM19" s="390"/>
      <c r="AFN19" s="390"/>
      <c r="AFO19" s="390"/>
      <c r="AFP19" s="390"/>
      <c r="AFQ19" s="390"/>
      <c r="AFR19" s="390"/>
      <c r="AFS19" s="390"/>
      <c r="AFT19" s="390"/>
      <c r="AFU19" s="390"/>
      <c r="AFV19" s="390"/>
      <c r="AFW19" s="390"/>
      <c r="AFX19" s="390"/>
      <c r="AFY19" s="390"/>
      <c r="AFZ19" s="390"/>
      <c r="AGA19" s="390"/>
      <c r="AGB19" s="390"/>
      <c r="AGC19" s="390"/>
      <c r="AGD19" s="390"/>
      <c r="AGE19" s="390"/>
      <c r="AGF19" s="390"/>
      <c r="AGG19" s="390"/>
      <c r="AGH19" s="390"/>
      <c r="AGI19" s="390"/>
      <c r="AGJ19" s="390"/>
      <c r="AGK19" s="390"/>
      <c r="AGL19" s="390"/>
      <c r="AGM19" s="390"/>
      <c r="AGN19" s="390"/>
      <c r="AGO19" s="390"/>
      <c r="AGP19" s="390"/>
      <c r="AGQ19" s="390"/>
      <c r="AGR19" s="390"/>
      <c r="AGS19" s="390"/>
      <c r="AGT19" s="390"/>
      <c r="AGU19" s="390"/>
      <c r="AGV19" s="390"/>
      <c r="AGW19" s="390"/>
      <c r="AGX19" s="390"/>
      <c r="AGY19" s="390"/>
      <c r="AGZ19" s="390"/>
      <c r="AHA19" s="390"/>
      <c r="AHB19" s="390"/>
      <c r="AHC19" s="390"/>
      <c r="AHD19" s="390"/>
      <c r="AHE19" s="390"/>
      <c r="AHF19" s="390"/>
      <c r="AHG19" s="390"/>
      <c r="AHH19" s="390"/>
      <c r="AHI19" s="390"/>
      <c r="AHJ19" s="390"/>
      <c r="AHK19" s="390"/>
      <c r="AHL19" s="390"/>
      <c r="AHM19" s="390"/>
      <c r="AHN19" s="390"/>
      <c r="AHO19" s="390"/>
      <c r="AHP19" s="390"/>
      <c r="AHQ19" s="390"/>
      <c r="AHR19" s="390"/>
      <c r="AHS19" s="390"/>
      <c r="AHT19" s="390"/>
      <c r="AHU19" s="390"/>
      <c r="AHV19" s="390"/>
      <c r="AHW19" s="390"/>
      <c r="AHX19" s="390"/>
      <c r="AHY19" s="390"/>
      <c r="AHZ19" s="390"/>
      <c r="AIA19" s="390"/>
      <c r="AIB19" s="390"/>
      <c r="AIC19" s="390"/>
      <c r="AID19" s="390"/>
      <c r="AIE19" s="390"/>
      <c r="AIF19" s="390"/>
      <c r="AIG19" s="390"/>
      <c r="AIH19" s="390"/>
      <c r="AII19" s="390"/>
      <c r="AIJ19" s="390"/>
      <c r="AIK19" s="390"/>
      <c r="AIL19" s="390"/>
      <c r="AIM19" s="390"/>
      <c r="AIN19" s="390"/>
      <c r="AIO19" s="390"/>
      <c r="AIP19" s="390"/>
      <c r="AIQ19" s="390"/>
      <c r="AIR19" s="390"/>
      <c r="AIS19" s="390"/>
      <c r="AIT19" s="390"/>
      <c r="AIU19" s="390"/>
      <c r="AIV19" s="390"/>
      <c r="AIW19" s="390"/>
      <c r="AIX19" s="390"/>
      <c r="AIY19" s="390"/>
      <c r="AIZ19" s="390"/>
      <c r="AJA19" s="390"/>
      <c r="AJB19" s="390"/>
      <c r="AJC19" s="390"/>
      <c r="AJD19" s="390"/>
      <c r="AJE19" s="390"/>
      <c r="AJF19" s="390"/>
      <c r="AJG19" s="390"/>
      <c r="AJH19" s="390"/>
      <c r="AJI19" s="390"/>
      <c r="AJJ19" s="390"/>
      <c r="AJK19" s="390"/>
      <c r="AJL19" s="390"/>
      <c r="AJM19" s="390"/>
      <c r="AJN19" s="390"/>
      <c r="AJO19" s="390"/>
      <c r="AJP19" s="390"/>
      <c r="AJQ19" s="390"/>
      <c r="AJR19" s="390"/>
      <c r="AJS19" s="390"/>
      <c r="AJT19" s="390"/>
      <c r="AJU19" s="390"/>
      <c r="AJV19" s="390"/>
      <c r="AJW19" s="390"/>
      <c r="AJX19" s="390"/>
      <c r="AJY19" s="390"/>
      <c r="AJZ19" s="390"/>
      <c r="AKA19" s="390"/>
      <c r="AKB19" s="390"/>
      <c r="AKC19" s="390"/>
      <c r="AKD19" s="390"/>
      <c r="AKE19" s="390"/>
      <c r="AKF19" s="390"/>
      <c r="AKG19" s="390"/>
      <c r="AKH19" s="390"/>
      <c r="AKI19" s="390"/>
      <c r="AKJ19" s="390"/>
      <c r="AKK19" s="390"/>
      <c r="AKL19" s="390"/>
      <c r="AKM19" s="390"/>
      <c r="AKN19" s="390"/>
      <c r="AKO19" s="390"/>
      <c r="AKP19" s="390"/>
      <c r="AKQ19" s="390"/>
      <c r="AKR19" s="390"/>
      <c r="AKS19" s="390"/>
      <c r="AKT19" s="390"/>
      <c r="AKU19" s="390"/>
      <c r="AKV19" s="390"/>
      <c r="AKW19" s="390"/>
      <c r="AKX19" s="390"/>
      <c r="AKY19" s="390"/>
      <c r="AKZ19" s="390"/>
      <c r="ALA19" s="390"/>
      <c r="ALB19" s="390"/>
      <c r="ALC19" s="390"/>
      <c r="ALD19" s="390"/>
      <c r="ALE19" s="390"/>
      <c r="ALF19" s="390"/>
      <c r="ALG19" s="390"/>
      <c r="ALH19" s="390"/>
      <c r="ALI19" s="390"/>
      <c r="ALJ19" s="390"/>
      <c r="ALK19" s="390"/>
      <c r="ALL19" s="390"/>
      <c r="ALM19" s="390"/>
      <c r="ALN19" s="390"/>
      <c r="ALO19" s="390"/>
      <c r="ALP19" s="390"/>
      <c r="ALQ19" s="390"/>
      <c r="ALR19" s="390"/>
      <c r="ALS19" s="390"/>
      <c r="ALT19" s="390"/>
      <c r="ALU19" s="390"/>
      <c r="ALV19" s="390"/>
      <c r="ALW19" s="390"/>
      <c r="ALX19" s="390"/>
      <c r="ALY19" s="390"/>
      <c r="ALZ19" s="390"/>
      <c r="AMA19" s="390"/>
      <c r="AMB19" s="390"/>
      <c r="AMC19" s="390"/>
      <c r="AMD19" s="390"/>
      <c r="AME19" s="390"/>
      <c r="AMF19" s="390"/>
      <c r="AMG19" s="390"/>
      <c r="AMH19" s="390"/>
      <c r="AMI19" s="390"/>
      <c r="AMJ19" s="390"/>
      <c r="AMK19" s="390"/>
    </row>
    <row r="20" s="378" customFormat="1" ht="28.05" customHeight="1" spans="1:8">
      <c r="A20" s="13"/>
      <c r="B20" s="13"/>
      <c r="C20" s="13"/>
      <c r="D20" s="13"/>
      <c r="E20" s="13"/>
      <c r="F20" s="13"/>
      <c r="G20" s="13"/>
      <c r="H20" s="13"/>
    </row>
    <row r="21" s="378" customFormat="1" ht="28.05" customHeight="1" spans="1:8">
      <c r="A21" s="385" t="s">
        <v>22</v>
      </c>
      <c r="B21" s="386" t="str">
        <f>'Orçamento '!E40</f>
        <v>REVESTIMENTO</v>
      </c>
      <c r="C21" s="387"/>
      <c r="D21" s="387"/>
      <c r="E21" s="387"/>
      <c r="F21" s="387"/>
      <c r="G21" s="387"/>
      <c r="H21" s="388">
        <f>'Orçamento '!J40</f>
        <v>36235.62</v>
      </c>
    </row>
    <row r="22" s="378" customFormat="1" ht="28.05" customHeight="1" spans="1:8">
      <c r="A22" s="13"/>
      <c r="B22" s="13"/>
      <c r="C22" s="13"/>
      <c r="D22" s="13"/>
      <c r="E22" s="13"/>
      <c r="F22" s="13"/>
      <c r="G22" s="13"/>
      <c r="H22" s="13"/>
    </row>
    <row r="23" s="378" customFormat="1" ht="28.05" customHeight="1" spans="1:8">
      <c r="A23" s="385" t="s">
        <v>23</v>
      </c>
      <c r="B23" s="386" t="str">
        <f>'Orçamento '!E43</f>
        <v>ESQUADRIAS DE MADEIRA</v>
      </c>
      <c r="C23" s="387"/>
      <c r="D23" s="387"/>
      <c r="E23" s="387"/>
      <c r="F23" s="387"/>
      <c r="G23" s="387"/>
      <c r="H23" s="388">
        <f>'Orçamento '!J43</f>
        <v>3304.71</v>
      </c>
    </row>
    <row r="24" s="378" customFormat="1" ht="28.05" customHeight="1" spans="1:8">
      <c r="A24" s="13"/>
      <c r="B24" s="13"/>
      <c r="C24" s="13"/>
      <c r="D24" s="13"/>
      <c r="E24" s="13"/>
      <c r="F24" s="13"/>
      <c r="G24" s="13"/>
      <c r="H24" s="13"/>
    </row>
    <row r="25" s="378" customFormat="1" ht="28.05" customHeight="1" spans="1:8">
      <c r="A25" s="385" t="s">
        <v>24</v>
      </c>
      <c r="B25" s="386" t="str">
        <f>'Orçamento '!E45</f>
        <v>PINTURA</v>
      </c>
      <c r="C25" s="387"/>
      <c r="D25" s="387"/>
      <c r="E25" s="387"/>
      <c r="F25" s="387"/>
      <c r="G25" s="387"/>
      <c r="H25" s="388">
        <f>'Orçamento '!J45</f>
        <v>65959.23</v>
      </c>
    </row>
    <row r="26" s="378" customFormat="1" ht="28.05" customHeight="1" spans="1:8">
      <c r="A26" s="13"/>
      <c r="B26" s="13"/>
      <c r="C26" s="13"/>
      <c r="D26" s="13"/>
      <c r="E26" s="13"/>
      <c r="F26" s="13"/>
      <c r="G26" s="13"/>
      <c r="H26" s="13"/>
    </row>
    <row r="27" s="378" customFormat="1" ht="28.05" customHeight="1" spans="1:8">
      <c r="A27" s="385" t="s">
        <v>25</v>
      </c>
      <c r="B27" s="386" t="str">
        <f>'Orçamento '!E51</f>
        <v>INSTALAÇÕES PLUVIAIS</v>
      </c>
      <c r="C27" s="387"/>
      <c r="D27" s="387"/>
      <c r="E27" s="387"/>
      <c r="F27" s="387"/>
      <c r="G27" s="387"/>
      <c r="H27" s="388">
        <f>'Orçamento '!J51</f>
        <v>2561.04</v>
      </c>
    </row>
    <row r="28" s="378" customFormat="1" ht="28.05" customHeight="1" spans="1:8">
      <c r="A28" s="13"/>
      <c r="B28" s="13"/>
      <c r="C28" s="13"/>
      <c r="D28" s="13"/>
      <c r="E28" s="13"/>
      <c r="F28" s="13"/>
      <c r="G28" s="13"/>
      <c r="H28" s="13"/>
    </row>
    <row r="29" s="378" customFormat="1" ht="28.05" customHeight="1" spans="1:8">
      <c r="A29" s="385" t="s">
        <v>26</v>
      </c>
      <c r="B29" s="386" t="str">
        <f>'Orçamento '!E54</f>
        <v>INSTALAÇÕES HIDRÁULICAS</v>
      </c>
      <c r="C29" s="387"/>
      <c r="D29" s="387"/>
      <c r="E29" s="387"/>
      <c r="F29" s="387"/>
      <c r="G29" s="387"/>
      <c r="H29" s="388">
        <f>'Orçamento '!J54</f>
        <v>17492.27</v>
      </c>
    </row>
    <row r="30" s="378" customFormat="1" ht="28.05" customHeight="1" spans="1:8">
      <c r="A30" s="13"/>
      <c r="B30" s="13"/>
      <c r="C30" s="13"/>
      <c r="D30" s="13"/>
      <c r="E30" s="13"/>
      <c r="F30" s="13"/>
      <c r="G30" s="13"/>
      <c r="H30" s="13"/>
    </row>
    <row r="31" s="380" customFormat="1" ht="28.05" customHeight="1" spans="1:1025">
      <c r="A31" s="20" t="s">
        <v>27</v>
      </c>
      <c r="B31" s="20"/>
      <c r="C31" s="20"/>
      <c r="D31" s="20"/>
      <c r="E31" s="20"/>
      <c r="F31" s="20"/>
      <c r="G31" s="20"/>
      <c r="H31" s="21">
        <f>H19+H17+H15+H13+H11+H21+H23+H25+H27+H29</f>
        <v>355058.96</v>
      </c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0"/>
      <c r="AM31" s="390"/>
      <c r="AN31" s="390"/>
      <c r="AO31" s="390"/>
      <c r="AP31" s="390"/>
      <c r="AQ31" s="390"/>
      <c r="AR31" s="390"/>
      <c r="AS31" s="390"/>
      <c r="AT31" s="390"/>
      <c r="AU31" s="390"/>
      <c r="AV31" s="390"/>
      <c r="AW31" s="390"/>
      <c r="AX31" s="390"/>
      <c r="AY31" s="390"/>
      <c r="AZ31" s="390"/>
      <c r="BA31" s="390"/>
      <c r="BB31" s="390"/>
      <c r="BC31" s="390"/>
      <c r="BD31" s="390"/>
      <c r="BE31" s="390"/>
      <c r="BF31" s="390"/>
      <c r="BG31" s="390"/>
      <c r="BH31" s="390"/>
      <c r="BI31" s="390"/>
      <c r="BJ31" s="390"/>
      <c r="BK31" s="390"/>
      <c r="BL31" s="390"/>
      <c r="BM31" s="390"/>
      <c r="BN31" s="390"/>
      <c r="BO31" s="390"/>
      <c r="BP31" s="390"/>
      <c r="BQ31" s="390"/>
      <c r="BR31" s="390"/>
      <c r="BS31" s="390"/>
      <c r="BT31" s="390"/>
      <c r="BU31" s="390"/>
      <c r="BV31" s="390"/>
      <c r="BW31" s="390"/>
      <c r="BX31" s="390"/>
      <c r="BY31" s="390"/>
      <c r="BZ31" s="390"/>
      <c r="CA31" s="390"/>
      <c r="CB31" s="390"/>
      <c r="CC31" s="390"/>
      <c r="CD31" s="390"/>
      <c r="CE31" s="390"/>
      <c r="CF31" s="390"/>
      <c r="CG31" s="390"/>
      <c r="CH31" s="390"/>
      <c r="CI31" s="390"/>
      <c r="CJ31" s="390"/>
      <c r="CK31" s="390"/>
      <c r="CL31" s="390"/>
      <c r="CM31" s="390"/>
      <c r="CN31" s="390"/>
      <c r="CO31" s="390"/>
      <c r="CP31" s="390"/>
      <c r="CQ31" s="390"/>
      <c r="CR31" s="390"/>
      <c r="CS31" s="390"/>
      <c r="CT31" s="390"/>
      <c r="CU31" s="390"/>
      <c r="CV31" s="390"/>
      <c r="CW31" s="390"/>
      <c r="CX31" s="390"/>
      <c r="CY31" s="390"/>
      <c r="CZ31" s="390"/>
      <c r="DA31" s="390"/>
      <c r="DB31" s="390"/>
      <c r="DC31" s="390"/>
      <c r="DD31" s="390"/>
      <c r="DE31" s="390"/>
      <c r="DF31" s="390"/>
      <c r="DG31" s="390"/>
      <c r="DH31" s="390"/>
      <c r="DI31" s="390"/>
      <c r="DJ31" s="390"/>
      <c r="DK31" s="390"/>
      <c r="DL31" s="390"/>
      <c r="DM31" s="390"/>
      <c r="DN31" s="390"/>
      <c r="DO31" s="390"/>
      <c r="DP31" s="390"/>
      <c r="DQ31" s="390"/>
      <c r="DR31" s="390"/>
      <c r="DS31" s="390"/>
      <c r="DT31" s="390"/>
      <c r="DU31" s="390"/>
      <c r="DV31" s="390"/>
      <c r="DW31" s="390"/>
      <c r="DX31" s="390"/>
      <c r="DY31" s="390"/>
      <c r="DZ31" s="390"/>
      <c r="EA31" s="390"/>
      <c r="EB31" s="390"/>
      <c r="EC31" s="390"/>
      <c r="ED31" s="390"/>
      <c r="EE31" s="390"/>
      <c r="EF31" s="390"/>
      <c r="EG31" s="390"/>
      <c r="EH31" s="390"/>
      <c r="EI31" s="390"/>
      <c r="EJ31" s="390"/>
      <c r="EK31" s="390"/>
      <c r="EL31" s="390"/>
      <c r="EM31" s="390"/>
      <c r="EN31" s="390"/>
      <c r="EO31" s="390"/>
      <c r="EP31" s="390"/>
      <c r="EQ31" s="390"/>
      <c r="ER31" s="390"/>
      <c r="ES31" s="390"/>
      <c r="ET31" s="390"/>
      <c r="EU31" s="390"/>
      <c r="EV31" s="390"/>
      <c r="EW31" s="390"/>
      <c r="EX31" s="390"/>
      <c r="EY31" s="390"/>
      <c r="EZ31" s="390"/>
      <c r="FA31" s="390"/>
      <c r="FB31" s="390"/>
      <c r="FC31" s="390"/>
      <c r="FD31" s="390"/>
      <c r="FE31" s="390"/>
      <c r="FF31" s="390"/>
      <c r="FG31" s="390"/>
      <c r="FH31" s="390"/>
      <c r="FI31" s="390"/>
      <c r="FJ31" s="390"/>
      <c r="FK31" s="390"/>
      <c r="FL31" s="390"/>
      <c r="FM31" s="390"/>
      <c r="FN31" s="390"/>
      <c r="FO31" s="390"/>
      <c r="FP31" s="390"/>
      <c r="FQ31" s="390"/>
      <c r="FR31" s="390"/>
      <c r="FS31" s="390"/>
      <c r="FT31" s="390"/>
      <c r="FU31" s="390"/>
      <c r="FV31" s="390"/>
      <c r="FW31" s="390"/>
      <c r="FX31" s="390"/>
      <c r="FY31" s="390"/>
      <c r="FZ31" s="390"/>
      <c r="GA31" s="390"/>
      <c r="GB31" s="390"/>
      <c r="GC31" s="390"/>
      <c r="GD31" s="390"/>
      <c r="GE31" s="390"/>
      <c r="GF31" s="390"/>
      <c r="GG31" s="390"/>
      <c r="GH31" s="390"/>
      <c r="GI31" s="390"/>
      <c r="GJ31" s="390"/>
      <c r="GK31" s="390"/>
      <c r="GL31" s="390"/>
      <c r="GM31" s="390"/>
      <c r="GN31" s="390"/>
      <c r="GO31" s="390"/>
      <c r="GP31" s="390"/>
      <c r="GQ31" s="390"/>
      <c r="GR31" s="390"/>
      <c r="GS31" s="390"/>
      <c r="GT31" s="390"/>
      <c r="GU31" s="390"/>
      <c r="GV31" s="390"/>
      <c r="GW31" s="390"/>
      <c r="GX31" s="390"/>
      <c r="GY31" s="390"/>
      <c r="GZ31" s="390"/>
      <c r="HA31" s="390"/>
      <c r="HB31" s="390"/>
      <c r="HC31" s="390"/>
      <c r="HD31" s="390"/>
      <c r="HE31" s="390"/>
      <c r="HF31" s="390"/>
      <c r="HG31" s="390"/>
      <c r="HH31" s="390"/>
      <c r="HI31" s="390"/>
      <c r="HJ31" s="390"/>
      <c r="HK31" s="390"/>
      <c r="HL31" s="390"/>
      <c r="HM31" s="390"/>
      <c r="HN31" s="390"/>
      <c r="HO31" s="390"/>
      <c r="HP31" s="390"/>
      <c r="HQ31" s="390"/>
      <c r="HR31" s="390"/>
      <c r="HS31" s="390"/>
      <c r="HT31" s="390"/>
      <c r="HU31" s="390"/>
      <c r="HV31" s="390"/>
      <c r="HW31" s="390"/>
      <c r="HX31" s="390"/>
      <c r="HY31" s="390"/>
      <c r="HZ31" s="390"/>
      <c r="IA31" s="390"/>
      <c r="IB31" s="390"/>
      <c r="IC31" s="390"/>
      <c r="ID31" s="390"/>
      <c r="IE31" s="390"/>
      <c r="IF31" s="390"/>
      <c r="IG31" s="390"/>
      <c r="IH31" s="390"/>
      <c r="II31" s="390"/>
      <c r="IJ31" s="390"/>
      <c r="IK31" s="390"/>
      <c r="IL31" s="390"/>
      <c r="IM31" s="390"/>
      <c r="IN31" s="390"/>
      <c r="IO31" s="390"/>
      <c r="IP31" s="390"/>
      <c r="IQ31" s="390"/>
      <c r="IR31" s="390"/>
      <c r="IS31" s="390"/>
      <c r="IT31" s="390"/>
      <c r="IU31" s="390"/>
      <c r="IV31" s="390"/>
      <c r="IW31" s="390"/>
      <c r="IX31" s="390"/>
      <c r="IY31" s="390"/>
      <c r="IZ31" s="390"/>
      <c r="JA31" s="390"/>
      <c r="JB31" s="390"/>
      <c r="JC31" s="390"/>
      <c r="JD31" s="390"/>
      <c r="JE31" s="390"/>
      <c r="JF31" s="390"/>
      <c r="JG31" s="390"/>
      <c r="JH31" s="390"/>
      <c r="JI31" s="390"/>
      <c r="JJ31" s="390"/>
      <c r="JK31" s="390"/>
      <c r="JL31" s="390"/>
      <c r="JM31" s="390"/>
      <c r="JN31" s="390"/>
      <c r="JO31" s="390"/>
      <c r="JP31" s="390"/>
      <c r="JQ31" s="390"/>
      <c r="JR31" s="390"/>
      <c r="JS31" s="390"/>
      <c r="JT31" s="390"/>
      <c r="JU31" s="390"/>
      <c r="JV31" s="390"/>
      <c r="JW31" s="390"/>
      <c r="JX31" s="390"/>
      <c r="JY31" s="390"/>
      <c r="JZ31" s="390"/>
      <c r="KA31" s="390"/>
      <c r="KB31" s="390"/>
      <c r="KC31" s="390"/>
      <c r="KD31" s="390"/>
      <c r="KE31" s="390"/>
      <c r="KF31" s="390"/>
      <c r="KG31" s="390"/>
      <c r="KH31" s="390"/>
      <c r="KI31" s="390"/>
      <c r="KJ31" s="390"/>
      <c r="KK31" s="390"/>
      <c r="KL31" s="390"/>
      <c r="KM31" s="390"/>
      <c r="KN31" s="390"/>
      <c r="KO31" s="390"/>
      <c r="KP31" s="390"/>
      <c r="KQ31" s="390"/>
      <c r="KR31" s="390"/>
      <c r="KS31" s="390"/>
      <c r="KT31" s="390"/>
      <c r="KU31" s="390"/>
      <c r="KV31" s="390"/>
      <c r="KW31" s="390"/>
      <c r="KX31" s="390"/>
      <c r="KY31" s="390"/>
      <c r="KZ31" s="390"/>
      <c r="LA31" s="390"/>
      <c r="LB31" s="390"/>
      <c r="LC31" s="390"/>
      <c r="LD31" s="390"/>
      <c r="LE31" s="390"/>
      <c r="LF31" s="390"/>
      <c r="LG31" s="390"/>
      <c r="LH31" s="390"/>
      <c r="LI31" s="390"/>
      <c r="LJ31" s="390"/>
      <c r="LK31" s="390"/>
      <c r="LL31" s="390"/>
      <c r="LM31" s="390"/>
      <c r="LN31" s="390"/>
      <c r="LO31" s="390"/>
      <c r="LP31" s="390"/>
      <c r="LQ31" s="390"/>
      <c r="LR31" s="390"/>
      <c r="LS31" s="390"/>
      <c r="LT31" s="390"/>
      <c r="LU31" s="390"/>
      <c r="LV31" s="390"/>
      <c r="LW31" s="390"/>
      <c r="LX31" s="390"/>
      <c r="LY31" s="390"/>
      <c r="LZ31" s="390"/>
      <c r="MA31" s="390"/>
      <c r="MB31" s="390"/>
      <c r="MC31" s="390"/>
      <c r="MD31" s="390"/>
      <c r="ME31" s="390"/>
      <c r="MF31" s="390"/>
      <c r="MG31" s="390"/>
      <c r="MH31" s="390"/>
      <c r="MI31" s="390"/>
      <c r="MJ31" s="390"/>
      <c r="MK31" s="390"/>
      <c r="ML31" s="390"/>
      <c r="MM31" s="390"/>
      <c r="MN31" s="390"/>
      <c r="MO31" s="390"/>
      <c r="MP31" s="390"/>
      <c r="MQ31" s="390"/>
      <c r="MR31" s="390"/>
      <c r="MS31" s="390"/>
      <c r="MT31" s="390"/>
      <c r="MU31" s="390"/>
      <c r="MV31" s="390"/>
      <c r="MW31" s="390"/>
      <c r="MX31" s="390"/>
      <c r="MY31" s="390"/>
      <c r="MZ31" s="390"/>
      <c r="NA31" s="390"/>
      <c r="NB31" s="390"/>
      <c r="NC31" s="390"/>
      <c r="ND31" s="390"/>
      <c r="NE31" s="390"/>
      <c r="NF31" s="390"/>
      <c r="NG31" s="390"/>
      <c r="NH31" s="390"/>
      <c r="NI31" s="390"/>
      <c r="NJ31" s="390"/>
      <c r="NK31" s="390"/>
      <c r="NL31" s="390"/>
      <c r="NM31" s="390"/>
      <c r="NN31" s="390"/>
      <c r="NO31" s="390"/>
      <c r="NP31" s="390"/>
      <c r="NQ31" s="390"/>
      <c r="NR31" s="390"/>
      <c r="NS31" s="390"/>
      <c r="NT31" s="390"/>
      <c r="NU31" s="390"/>
      <c r="NV31" s="390"/>
      <c r="NW31" s="390"/>
      <c r="NX31" s="390"/>
      <c r="NY31" s="390"/>
      <c r="NZ31" s="390"/>
      <c r="OA31" s="390"/>
      <c r="OB31" s="390"/>
      <c r="OC31" s="390"/>
      <c r="OD31" s="390"/>
      <c r="OE31" s="390"/>
      <c r="OF31" s="390"/>
      <c r="OG31" s="390"/>
      <c r="OH31" s="390"/>
      <c r="OI31" s="390"/>
      <c r="OJ31" s="390"/>
      <c r="OK31" s="390"/>
      <c r="OL31" s="390"/>
      <c r="OM31" s="390"/>
      <c r="ON31" s="390"/>
      <c r="OO31" s="390"/>
      <c r="OP31" s="390"/>
      <c r="OQ31" s="390"/>
      <c r="OR31" s="390"/>
      <c r="OS31" s="390"/>
      <c r="OT31" s="390"/>
      <c r="OU31" s="390"/>
      <c r="OV31" s="390"/>
      <c r="OW31" s="390"/>
      <c r="OX31" s="390"/>
      <c r="OY31" s="390"/>
      <c r="OZ31" s="390"/>
      <c r="PA31" s="390"/>
      <c r="PB31" s="390"/>
      <c r="PC31" s="390"/>
      <c r="PD31" s="390"/>
      <c r="PE31" s="390"/>
      <c r="PF31" s="390"/>
      <c r="PG31" s="390"/>
      <c r="PH31" s="390"/>
      <c r="PI31" s="390"/>
      <c r="PJ31" s="390"/>
      <c r="PK31" s="390"/>
      <c r="PL31" s="390"/>
      <c r="PM31" s="390"/>
      <c r="PN31" s="390"/>
      <c r="PO31" s="390"/>
      <c r="PP31" s="390"/>
      <c r="PQ31" s="390"/>
      <c r="PR31" s="390"/>
      <c r="PS31" s="390"/>
      <c r="PT31" s="390"/>
      <c r="PU31" s="390"/>
      <c r="PV31" s="390"/>
      <c r="PW31" s="390"/>
      <c r="PX31" s="390"/>
      <c r="PY31" s="390"/>
      <c r="PZ31" s="390"/>
      <c r="QA31" s="390"/>
      <c r="QB31" s="390"/>
      <c r="QC31" s="390"/>
      <c r="QD31" s="390"/>
      <c r="QE31" s="390"/>
      <c r="QF31" s="390"/>
      <c r="QG31" s="390"/>
      <c r="QH31" s="390"/>
      <c r="QI31" s="390"/>
      <c r="QJ31" s="390"/>
      <c r="QK31" s="390"/>
      <c r="QL31" s="390"/>
      <c r="QM31" s="390"/>
      <c r="QN31" s="390"/>
      <c r="QO31" s="390"/>
      <c r="QP31" s="390"/>
      <c r="QQ31" s="390"/>
      <c r="QR31" s="390"/>
      <c r="QS31" s="390"/>
      <c r="QT31" s="390"/>
      <c r="QU31" s="390"/>
      <c r="QV31" s="390"/>
      <c r="QW31" s="390"/>
      <c r="QX31" s="390"/>
      <c r="QY31" s="390"/>
      <c r="QZ31" s="390"/>
      <c r="RA31" s="390"/>
      <c r="RB31" s="390"/>
      <c r="RC31" s="390"/>
      <c r="RD31" s="390"/>
      <c r="RE31" s="390"/>
      <c r="RF31" s="390"/>
      <c r="RG31" s="390"/>
      <c r="RH31" s="390"/>
      <c r="RI31" s="390"/>
      <c r="RJ31" s="390"/>
      <c r="RK31" s="390"/>
      <c r="RL31" s="390"/>
      <c r="RM31" s="390"/>
      <c r="RN31" s="390"/>
      <c r="RO31" s="390"/>
      <c r="RP31" s="390"/>
      <c r="RQ31" s="390"/>
      <c r="RR31" s="390"/>
      <c r="RS31" s="390"/>
      <c r="RT31" s="390"/>
      <c r="RU31" s="390"/>
      <c r="RV31" s="390"/>
      <c r="RW31" s="390"/>
      <c r="RX31" s="390"/>
      <c r="RY31" s="390"/>
      <c r="RZ31" s="390"/>
      <c r="SA31" s="390"/>
      <c r="SB31" s="390"/>
      <c r="SC31" s="390"/>
      <c r="SD31" s="390"/>
      <c r="SE31" s="390"/>
      <c r="SF31" s="390"/>
      <c r="SG31" s="390"/>
      <c r="SH31" s="390"/>
      <c r="SI31" s="390"/>
      <c r="SJ31" s="390"/>
      <c r="SK31" s="390"/>
      <c r="SL31" s="390"/>
      <c r="SM31" s="390"/>
      <c r="SN31" s="390"/>
      <c r="SO31" s="390"/>
      <c r="SP31" s="390"/>
      <c r="SQ31" s="390"/>
      <c r="SR31" s="390"/>
      <c r="SS31" s="390"/>
      <c r="ST31" s="390"/>
      <c r="SU31" s="390"/>
      <c r="SV31" s="390"/>
      <c r="SW31" s="390"/>
      <c r="SX31" s="390"/>
      <c r="SY31" s="390"/>
      <c r="SZ31" s="390"/>
      <c r="TA31" s="390"/>
      <c r="TB31" s="390"/>
      <c r="TC31" s="390"/>
      <c r="TD31" s="390"/>
      <c r="TE31" s="390"/>
      <c r="TF31" s="390"/>
      <c r="TG31" s="390"/>
      <c r="TH31" s="390"/>
      <c r="TI31" s="390"/>
      <c r="TJ31" s="390"/>
      <c r="TK31" s="390"/>
      <c r="TL31" s="390"/>
      <c r="TM31" s="390"/>
      <c r="TN31" s="390"/>
      <c r="TO31" s="390"/>
      <c r="TP31" s="390"/>
      <c r="TQ31" s="390"/>
      <c r="TR31" s="390"/>
      <c r="TS31" s="390"/>
      <c r="TT31" s="390"/>
      <c r="TU31" s="390"/>
      <c r="TV31" s="390"/>
      <c r="TW31" s="390"/>
      <c r="TX31" s="390"/>
      <c r="TY31" s="390"/>
      <c r="TZ31" s="390"/>
      <c r="UA31" s="390"/>
      <c r="UB31" s="390"/>
      <c r="UC31" s="390"/>
      <c r="UD31" s="390"/>
      <c r="UE31" s="390"/>
      <c r="UF31" s="390"/>
      <c r="UG31" s="390"/>
      <c r="UH31" s="390"/>
      <c r="UI31" s="390"/>
      <c r="UJ31" s="390"/>
      <c r="UK31" s="390"/>
      <c r="UL31" s="390"/>
      <c r="UM31" s="390"/>
      <c r="UN31" s="390"/>
      <c r="UO31" s="390"/>
      <c r="UP31" s="390"/>
      <c r="UQ31" s="390"/>
      <c r="UR31" s="390"/>
      <c r="US31" s="390"/>
      <c r="UT31" s="390"/>
      <c r="UU31" s="390"/>
      <c r="UV31" s="390"/>
      <c r="UW31" s="390"/>
      <c r="UX31" s="390"/>
      <c r="UY31" s="390"/>
      <c r="UZ31" s="390"/>
      <c r="VA31" s="390"/>
      <c r="VB31" s="390"/>
      <c r="VC31" s="390"/>
      <c r="VD31" s="390"/>
      <c r="VE31" s="390"/>
      <c r="VF31" s="390"/>
      <c r="VG31" s="390"/>
      <c r="VH31" s="390"/>
      <c r="VI31" s="390"/>
      <c r="VJ31" s="390"/>
      <c r="VK31" s="390"/>
      <c r="VL31" s="390"/>
      <c r="VM31" s="390"/>
      <c r="VN31" s="390"/>
      <c r="VO31" s="390"/>
      <c r="VP31" s="390"/>
      <c r="VQ31" s="390"/>
      <c r="VR31" s="390"/>
      <c r="VS31" s="390"/>
      <c r="VT31" s="390"/>
      <c r="VU31" s="390"/>
      <c r="VV31" s="390"/>
      <c r="VW31" s="390"/>
      <c r="VX31" s="390"/>
      <c r="VY31" s="390"/>
      <c r="VZ31" s="390"/>
      <c r="WA31" s="390"/>
      <c r="WB31" s="390"/>
      <c r="WC31" s="390"/>
      <c r="WD31" s="390"/>
      <c r="WE31" s="390"/>
      <c r="WF31" s="390"/>
      <c r="WG31" s="390"/>
      <c r="WH31" s="390"/>
      <c r="WI31" s="390"/>
      <c r="WJ31" s="390"/>
      <c r="WK31" s="390"/>
      <c r="WL31" s="390"/>
      <c r="WM31" s="390"/>
      <c r="WN31" s="390"/>
      <c r="WO31" s="390"/>
      <c r="WP31" s="390"/>
      <c r="WQ31" s="390"/>
      <c r="WR31" s="390"/>
      <c r="WS31" s="390"/>
      <c r="WT31" s="390"/>
      <c r="WU31" s="390"/>
      <c r="WV31" s="390"/>
      <c r="WW31" s="390"/>
      <c r="WX31" s="390"/>
      <c r="WY31" s="390"/>
      <c r="WZ31" s="390"/>
      <c r="XA31" s="390"/>
      <c r="XB31" s="390"/>
      <c r="XC31" s="390"/>
      <c r="XD31" s="390"/>
      <c r="XE31" s="390"/>
      <c r="XF31" s="390"/>
      <c r="XG31" s="390"/>
      <c r="XH31" s="390"/>
      <c r="XI31" s="390"/>
      <c r="XJ31" s="390"/>
      <c r="XK31" s="390"/>
      <c r="XL31" s="390"/>
      <c r="XM31" s="390"/>
      <c r="XN31" s="390"/>
      <c r="XO31" s="390"/>
      <c r="XP31" s="390"/>
      <c r="XQ31" s="390"/>
      <c r="XR31" s="390"/>
      <c r="XS31" s="390"/>
      <c r="XT31" s="390"/>
      <c r="XU31" s="390"/>
      <c r="XV31" s="390"/>
      <c r="XW31" s="390"/>
      <c r="XX31" s="390"/>
      <c r="XY31" s="390"/>
      <c r="XZ31" s="390"/>
      <c r="YA31" s="390"/>
      <c r="YB31" s="390"/>
      <c r="YC31" s="390"/>
      <c r="YD31" s="390"/>
      <c r="YE31" s="390"/>
      <c r="YF31" s="390"/>
      <c r="YG31" s="390"/>
      <c r="YH31" s="390"/>
      <c r="YI31" s="390"/>
      <c r="YJ31" s="390"/>
      <c r="YK31" s="390"/>
      <c r="YL31" s="390"/>
      <c r="YM31" s="390"/>
      <c r="YN31" s="390"/>
      <c r="YO31" s="390"/>
      <c r="YP31" s="390"/>
      <c r="YQ31" s="390"/>
      <c r="YR31" s="390"/>
      <c r="YS31" s="390"/>
      <c r="YT31" s="390"/>
      <c r="YU31" s="390"/>
      <c r="YV31" s="390"/>
      <c r="YW31" s="390"/>
      <c r="YX31" s="390"/>
      <c r="YY31" s="390"/>
      <c r="YZ31" s="390"/>
      <c r="ZA31" s="390"/>
      <c r="ZB31" s="390"/>
      <c r="ZC31" s="390"/>
      <c r="ZD31" s="390"/>
      <c r="ZE31" s="390"/>
      <c r="ZF31" s="390"/>
      <c r="ZG31" s="390"/>
      <c r="ZH31" s="390"/>
      <c r="ZI31" s="390"/>
      <c r="ZJ31" s="390"/>
      <c r="ZK31" s="390"/>
      <c r="ZL31" s="390"/>
      <c r="ZM31" s="390"/>
      <c r="ZN31" s="390"/>
      <c r="ZO31" s="390"/>
      <c r="ZP31" s="390"/>
      <c r="ZQ31" s="390"/>
      <c r="ZR31" s="390"/>
      <c r="ZS31" s="390"/>
      <c r="ZT31" s="390"/>
      <c r="ZU31" s="390"/>
      <c r="ZV31" s="390"/>
      <c r="ZW31" s="390"/>
      <c r="ZX31" s="390"/>
      <c r="ZY31" s="390"/>
      <c r="ZZ31" s="390"/>
      <c r="AAA31" s="390"/>
      <c r="AAB31" s="390"/>
      <c r="AAC31" s="390"/>
      <c r="AAD31" s="390"/>
      <c r="AAE31" s="390"/>
      <c r="AAF31" s="390"/>
      <c r="AAG31" s="390"/>
      <c r="AAH31" s="390"/>
      <c r="AAI31" s="390"/>
      <c r="AAJ31" s="390"/>
      <c r="AAK31" s="390"/>
      <c r="AAL31" s="390"/>
      <c r="AAM31" s="390"/>
      <c r="AAN31" s="390"/>
      <c r="AAO31" s="390"/>
      <c r="AAP31" s="390"/>
      <c r="AAQ31" s="390"/>
      <c r="AAR31" s="390"/>
      <c r="AAS31" s="390"/>
      <c r="AAT31" s="390"/>
      <c r="AAU31" s="390"/>
      <c r="AAV31" s="390"/>
      <c r="AAW31" s="390"/>
      <c r="AAX31" s="390"/>
      <c r="AAY31" s="390"/>
      <c r="AAZ31" s="390"/>
      <c r="ABA31" s="390"/>
      <c r="ABB31" s="390"/>
      <c r="ABC31" s="390"/>
      <c r="ABD31" s="390"/>
      <c r="ABE31" s="390"/>
      <c r="ABF31" s="390"/>
      <c r="ABG31" s="390"/>
      <c r="ABH31" s="390"/>
      <c r="ABI31" s="390"/>
      <c r="ABJ31" s="390"/>
      <c r="ABK31" s="390"/>
      <c r="ABL31" s="390"/>
      <c r="ABM31" s="390"/>
      <c r="ABN31" s="390"/>
      <c r="ABO31" s="390"/>
      <c r="ABP31" s="390"/>
      <c r="ABQ31" s="390"/>
      <c r="ABR31" s="390"/>
      <c r="ABS31" s="390"/>
      <c r="ABT31" s="390"/>
      <c r="ABU31" s="390"/>
      <c r="ABV31" s="390"/>
      <c r="ABW31" s="390"/>
      <c r="ABX31" s="390"/>
      <c r="ABY31" s="390"/>
      <c r="ABZ31" s="390"/>
      <c r="ACA31" s="390"/>
      <c r="ACB31" s="390"/>
      <c r="ACC31" s="390"/>
      <c r="ACD31" s="390"/>
      <c r="ACE31" s="390"/>
      <c r="ACF31" s="390"/>
      <c r="ACG31" s="390"/>
      <c r="ACH31" s="390"/>
      <c r="ACI31" s="390"/>
      <c r="ACJ31" s="390"/>
      <c r="ACK31" s="390"/>
      <c r="ACL31" s="390"/>
      <c r="ACM31" s="390"/>
      <c r="ACN31" s="390"/>
      <c r="ACO31" s="390"/>
      <c r="ACP31" s="390"/>
      <c r="ACQ31" s="390"/>
      <c r="ACR31" s="390"/>
      <c r="ACS31" s="390"/>
      <c r="ACT31" s="390"/>
      <c r="ACU31" s="390"/>
      <c r="ACV31" s="390"/>
      <c r="ACW31" s="390"/>
      <c r="ACX31" s="390"/>
      <c r="ACY31" s="390"/>
      <c r="ACZ31" s="390"/>
      <c r="ADA31" s="390"/>
      <c r="ADB31" s="390"/>
      <c r="ADC31" s="390"/>
      <c r="ADD31" s="390"/>
      <c r="ADE31" s="390"/>
      <c r="ADF31" s="390"/>
      <c r="ADG31" s="390"/>
      <c r="ADH31" s="390"/>
      <c r="ADI31" s="390"/>
      <c r="ADJ31" s="390"/>
      <c r="ADK31" s="390"/>
      <c r="ADL31" s="390"/>
      <c r="ADM31" s="390"/>
      <c r="ADN31" s="390"/>
      <c r="ADO31" s="390"/>
      <c r="ADP31" s="390"/>
      <c r="ADQ31" s="390"/>
      <c r="ADR31" s="390"/>
      <c r="ADS31" s="390"/>
      <c r="ADT31" s="390"/>
      <c r="ADU31" s="390"/>
      <c r="ADV31" s="390"/>
      <c r="ADW31" s="390"/>
      <c r="ADX31" s="390"/>
      <c r="ADY31" s="390"/>
      <c r="ADZ31" s="390"/>
      <c r="AEA31" s="390"/>
      <c r="AEB31" s="390"/>
      <c r="AEC31" s="390"/>
      <c r="AED31" s="390"/>
      <c r="AEE31" s="390"/>
      <c r="AEF31" s="390"/>
      <c r="AEG31" s="390"/>
      <c r="AEH31" s="390"/>
      <c r="AEI31" s="390"/>
      <c r="AEJ31" s="390"/>
      <c r="AEK31" s="390"/>
      <c r="AEL31" s="390"/>
      <c r="AEM31" s="390"/>
      <c r="AEN31" s="390"/>
      <c r="AEO31" s="390"/>
      <c r="AEP31" s="390"/>
      <c r="AEQ31" s="390"/>
      <c r="AER31" s="390"/>
      <c r="AES31" s="390"/>
      <c r="AET31" s="390"/>
      <c r="AEU31" s="390"/>
      <c r="AEV31" s="390"/>
      <c r="AEW31" s="390"/>
      <c r="AEX31" s="390"/>
      <c r="AEY31" s="390"/>
      <c r="AEZ31" s="390"/>
      <c r="AFA31" s="390"/>
      <c r="AFB31" s="390"/>
      <c r="AFC31" s="390"/>
      <c r="AFD31" s="390"/>
      <c r="AFE31" s="390"/>
      <c r="AFF31" s="390"/>
      <c r="AFG31" s="390"/>
      <c r="AFH31" s="390"/>
      <c r="AFI31" s="390"/>
      <c r="AFJ31" s="390"/>
      <c r="AFK31" s="390"/>
      <c r="AFL31" s="390"/>
      <c r="AFM31" s="390"/>
      <c r="AFN31" s="390"/>
      <c r="AFO31" s="390"/>
      <c r="AFP31" s="390"/>
      <c r="AFQ31" s="390"/>
      <c r="AFR31" s="390"/>
      <c r="AFS31" s="390"/>
      <c r="AFT31" s="390"/>
      <c r="AFU31" s="390"/>
      <c r="AFV31" s="390"/>
      <c r="AFW31" s="390"/>
      <c r="AFX31" s="390"/>
      <c r="AFY31" s="390"/>
      <c r="AFZ31" s="390"/>
      <c r="AGA31" s="390"/>
      <c r="AGB31" s="390"/>
      <c r="AGC31" s="390"/>
      <c r="AGD31" s="390"/>
      <c r="AGE31" s="390"/>
      <c r="AGF31" s="390"/>
      <c r="AGG31" s="390"/>
      <c r="AGH31" s="390"/>
      <c r="AGI31" s="390"/>
      <c r="AGJ31" s="390"/>
      <c r="AGK31" s="390"/>
      <c r="AGL31" s="390"/>
      <c r="AGM31" s="390"/>
      <c r="AGN31" s="390"/>
      <c r="AGO31" s="390"/>
      <c r="AGP31" s="390"/>
      <c r="AGQ31" s="390"/>
      <c r="AGR31" s="390"/>
      <c r="AGS31" s="390"/>
      <c r="AGT31" s="390"/>
      <c r="AGU31" s="390"/>
      <c r="AGV31" s="390"/>
      <c r="AGW31" s="390"/>
      <c r="AGX31" s="390"/>
      <c r="AGY31" s="390"/>
      <c r="AGZ31" s="390"/>
      <c r="AHA31" s="390"/>
      <c r="AHB31" s="390"/>
      <c r="AHC31" s="390"/>
      <c r="AHD31" s="390"/>
      <c r="AHE31" s="390"/>
      <c r="AHF31" s="390"/>
      <c r="AHG31" s="390"/>
      <c r="AHH31" s="390"/>
      <c r="AHI31" s="390"/>
      <c r="AHJ31" s="390"/>
      <c r="AHK31" s="390"/>
      <c r="AHL31" s="390"/>
      <c r="AHM31" s="390"/>
      <c r="AHN31" s="390"/>
      <c r="AHO31" s="390"/>
      <c r="AHP31" s="390"/>
      <c r="AHQ31" s="390"/>
      <c r="AHR31" s="390"/>
      <c r="AHS31" s="390"/>
      <c r="AHT31" s="390"/>
      <c r="AHU31" s="390"/>
      <c r="AHV31" s="390"/>
      <c r="AHW31" s="390"/>
      <c r="AHX31" s="390"/>
      <c r="AHY31" s="390"/>
      <c r="AHZ31" s="390"/>
      <c r="AIA31" s="390"/>
      <c r="AIB31" s="390"/>
      <c r="AIC31" s="390"/>
      <c r="AID31" s="390"/>
      <c r="AIE31" s="390"/>
      <c r="AIF31" s="390"/>
      <c r="AIG31" s="390"/>
      <c r="AIH31" s="390"/>
      <c r="AII31" s="390"/>
      <c r="AIJ31" s="390"/>
      <c r="AIK31" s="390"/>
      <c r="AIL31" s="390"/>
      <c r="AIM31" s="390"/>
      <c r="AIN31" s="390"/>
      <c r="AIO31" s="390"/>
      <c r="AIP31" s="390"/>
      <c r="AIQ31" s="390"/>
      <c r="AIR31" s="390"/>
      <c r="AIS31" s="390"/>
      <c r="AIT31" s="390"/>
      <c r="AIU31" s="390"/>
      <c r="AIV31" s="390"/>
      <c r="AIW31" s="390"/>
      <c r="AIX31" s="390"/>
      <c r="AIY31" s="390"/>
      <c r="AIZ31" s="390"/>
      <c r="AJA31" s="390"/>
      <c r="AJB31" s="390"/>
      <c r="AJC31" s="390"/>
      <c r="AJD31" s="390"/>
      <c r="AJE31" s="390"/>
      <c r="AJF31" s="390"/>
      <c r="AJG31" s="390"/>
      <c r="AJH31" s="390"/>
      <c r="AJI31" s="390"/>
      <c r="AJJ31" s="390"/>
      <c r="AJK31" s="390"/>
      <c r="AJL31" s="390"/>
      <c r="AJM31" s="390"/>
      <c r="AJN31" s="390"/>
      <c r="AJO31" s="390"/>
      <c r="AJP31" s="390"/>
      <c r="AJQ31" s="390"/>
      <c r="AJR31" s="390"/>
      <c r="AJS31" s="390"/>
      <c r="AJT31" s="390"/>
      <c r="AJU31" s="390"/>
      <c r="AJV31" s="390"/>
      <c r="AJW31" s="390"/>
      <c r="AJX31" s="390"/>
      <c r="AJY31" s="390"/>
      <c r="AJZ31" s="390"/>
      <c r="AKA31" s="390"/>
      <c r="AKB31" s="390"/>
      <c r="AKC31" s="390"/>
      <c r="AKD31" s="390"/>
      <c r="AKE31" s="390"/>
      <c r="AKF31" s="390"/>
      <c r="AKG31" s="390"/>
      <c r="AKH31" s="390"/>
      <c r="AKI31" s="390"/>
      <c r="AKJ31" s="390"/>
      <c r="AKK31" s="390"/>
      <c r="AKL31" s="390"/>
      <c r="AKM31" s="390"/>
      <c r="AKN31" s="390"/>
      <c r="AKO31" s="390"/>
      <c r="AKP31" s="390"/>
      <c r="AKQ31" s="390"/>
      <c r="AKR31" s="390"/>
      <c r="AKS31" s="390"/>
      <c r="AKT31" s="390"/>
      <c r="AKU31" s="390"/>
      <c r="AKV31" s="390"/>
      <c r="AKW31" s="390"/>
      <c r="AKX31" s="390"/>
      <c r="AKY31" s="390"/>
      <c r="AKZ31" s="390"/>
      <c r="ALA31" s="390"/>
      <c r="ALB31" s="390"/>
      <c r="ALC31" s="390"/>
      <c r="ALD31" s="390"/>
      <c r="ALE31" s="390"/>
      <c r="ALF31" s="390"/>
      <c r="ALG31" s="390"/>
      <c r="ALH31" s="390"/>
      <c r="ALI31" s="390"/>
      <c r="ALJ31" s="390"/>
      <c r="ALK31" s="390"/>
      <c r="ALL31" s="390"/>
      <c r="ALM31" s="390"/>
      <c r="ALN31" s="390"/>
      <c r="ALO31" s="390"/>
      <c r="ALP31" s="390"/>
      <c r="ALQ31" s="390"/>
      <c r="ALR31" s="390"/>
      <c r="ALS31" s="390"/>
      <c r="ALT31" s="390"/>
      <c r="ALU31" s="390"/>
      <c r="ALV31" s="390"/>
      <c r="ALW31" s="390"/>
      <c r="ALX31" s="390"/>
      <c r="ALY31" s="390"/>
      <c r="ALZ31" s="390"/>
      <c r="AMA31" s="390"/>
      <c r="AMB31" s="390"/>
      <c r="AMC31" s="390"/>
      <c r="AMD31" s="390"/>
      <c r="AME31" s="390"/>
      <c r="AMF31" s="390"/>
      <c r="AMG31" s="390"/>
      <c r="AMH31" s="390"/>
      <c r="AMI31" s="390"/>
      <c r="AMJ31" s="390"/>
      <c r="AMK31" s="390"/>
    </row>
    <row r="32" s="378" customFormat="1" ht="39" customHeight="1" spans="1:8">
      <c r="A32" s="15" t="s">
        <v>28</v>
      </c>
      <c r="B32" s="15"/>
      <c r="C32" s="389" t="s">
        <v>29</v>
      </c>
      <c r="D32" s="389"/>
      <c r="E32" s="389"/>
      <c r="F32" s="389"/>
      <c r="G32" s="389"/>
      <c r="H32" s="389"/>
    </row>
    <row r="33" s="378" customFormat="1" ht="42" customHeight="1" spans="1:8">
      <c r="A33" s="13"/>
      <c r="B33" s="13"/>
      <c r="C33" s="13"/>
      <c r="D33" s="13"/>
      <c r="E33" s="13"/>
      <c r="F33" s="13"/>
      <c r="G33" s="13"/>
      <c r="H33" s="13"/>
    </row>
  </sheetData>
  <mergeCells count="42">
    <mergeCell ref="A1:H1"/>
    <mergeCell ref="A2:H2"/>
    <mergeCell ref="A3:H3"/>
    <mergeCell ref="A4:B4"/>
    <mergeCell ref="C4:H4"/>
    <mergeCell ref="A5:B5"/>
    <mergeCell ref="C5:H5"/>
    <mergeCell ref="A6:B6"/>
    <mergeCell ref="C6:H6"/>
    <mergeCell ref="A10:H10"/>
    <mergeCell ref="B11:G11"/>
    <mergeCell ref="A12:H12"/>
    <mergeCell ref="B13:G13"/>
    <mergeCell ref="A14:H14"/>
    <mergeCell ref="B15:G15"/>
    <mergeCell ref="A16:H16"/>
    <mergeCell ref="B17:G17"/>
    <mergeCell ref="A18:H18"/>
    <mergeCell ref="B19:G19"/>
    <mergeCell ref="A20:H20"/>
    <mergeCell ref="B21:G21"/>
    <mergeCell ref="A22:H22"/>
    <mergeCell ref="B23:G23"/>
    <mergeCell ref="A24:H24"/>
    <mergeCell ref="B25:G25"/>
    <mergeCell ref="A26:H26"/>
    <mergeCell ref="B27:G27"/>
    <mergeCell ref="A28:H28"/>
    <mergeCell ref="B29:G29"/>
    <mergeCell ref="A30:H30"/>
    <mergeCell ref="A31:G31"/>
    <mergeCell ref="A32:B32"/>
    <mergeCell ref="C32:H32"/>
    <mergeCell ref="A33:H33"/>
    <mergeCell ref="A7:A9"/>
    <mergeCell ref="B7:B9"/>
    <mergeCell ref="C7:C9"/>
    <mergeCell ref="D7:D9"/>
    <mergeCell ref="E7:E9"/>
    <mergeCell ref="F7:F9"/>
    <mergeCell ref="G7:G9"/>
    <mergeCell ref="H8:H9"/>
  </mergeCells>
  <printOptions horizontalCentered="1"/>
  <pageMargins left="0.251388888888889" right="0.251388888888889" top="0.751388888888889" bottom="0.751388888888889" header="0.298611111111111" footer="0.298611111111111"/>
  <pageSetup paperSize="9" scale="66" orientation="portrait"/>
  <headerFooter/>
  <colBreaks count="1" manualBreakCount="1">
    <brk id="8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M72"/>
  <sheetViews>
    <sheetView view="pageBreakPreview" zoomScale="76" zoomScaleNormal="80" workbookViewId="0">
      <selection activeCell="A1" sqref="$A1:$XFD1048576"/>
    </sheetView>
  </sheetViews>
  <sheetFormatPr defaultColWidth="11.3333333333333" defaultRowHeight="15"/>
  <cols>
    <col min="1" max="1" width="1.22222222222222" style="190" customWidth="1"/>
    <col min="2" max="2" width="17.4444444444444" style="190" customWidth="1"/>
    <col min="3" max="3" width="22.1333333333333" style="190" customWidth="1"/>
    <col min="4" max="4" width="15.7777777777778" style="190" customWidth="1"/>
    <col min="5" max="5" width="107.111111111111" style="190" customWidth="1"/>
    <col min="6" max="6" width="8.98888888888889" style="190" customWidth="1"/>
    <col min="7" max="7" width="15.7888888888889" style="191" customWidth="1"/>
    <col min="8" max="8" width="21.7" style="192" customWidth="1"/>
    <col min="9" max="9" width="23.0222222222222" style="192" customWidth="1"/>
    <col min="10" max="10" width="22.8" style="192" customWidth="1"/>
    <col min="11" max="11" width="27.1111111111111" style="190" customWidth="1"/>
    <col min="12" max="250" width="11.3333333333333" style="190"/>
    <col min="251" max="251" width="10.1111111111111" style="190" customWidth="1"/>
    <col min="252" max="252" width="25.3333333333333" style="190" customWidth="1"/>
    <col min="253" max="253" width="39.6666666666667" style="190" customWidth="1"/>
    <col min="254" max="254" width="107.111111111111" style="190" customWidth="1"/>
    <col min="255" max="255" width="11.4444444444444" style="190" customWidth="1"/>
    <col min="256" max="256" width="17" style="190" customWidth="1"/>
    <col min="257" max="257" width="16.3333333333333" style="190" customWidth="1"/>
    <col min="258" max="258" width="16.4444444444444" style="190" customWidth="1"/>
    <col min="259" max="259" width="29" style="190" customWidth="1"/>
    <col min="260" max="260" width="20.3333333333333" style="190" customWidth="1"/>
    <col min="261" max="261" width="16.4444444444444" style="190" customWidth="1"/>
    <col min="262" max="262" width="13.3333333333333" style="190" customWidth="1"/>
    <col min="263" max="263" width="26.7777777777778" style="190" customWidth="1"/>
    <col min="264" max="264" width="14.1111111111111" style="190" customWidth="1"/>
    <col min="265" max="265" width="14.6666666666667" style="190" customWidth="1"/>
    <col min="266" max="506" width="11.3333333333333" style="190"/>
    <col min="507" max="507" width="10.1111111111111" style="190" customWidth="1"/>
    <col min="508" max="508" width="25.3333333333333" style="190" customWidth="1"/>
    <col min="509" max="509" width="39.6666666666667" style="190" customWidth="1"/>
    <col min="510" max="510" width="107.111111111111" style="190" customWidth="1"/>
    <col min="511" max="511" width="11.4444444444444" style="190" customWidth="1"/>
    <col min="512" max="512" width="17" style="190" customWidth="1"/>
    <col min="513" max="513" width="16.3333333333333" style="190" customWidth="1"/>
    <col min="514" max="514" width="16.4444444444444" style="190" customWidth="1"/>
    <col min="515" max="515" width="29" style="190" customWidth="1"/>
    <col min="516" max="516" width="20.3333333333333" style="190" customWidth="1"/>
    <col min="517" max="517" width="16.4444444444444" style="190" customWidth="1"/>
    <col min="518" max="518" width="13.3333333333333" style="190" customWidth="1"/>
    <col min="519" max="519" width="26.7777777777778" style="190" customWidth="1"/>
    <col min="520" max="520" width="14.1111111111111" style="190" customWidth="1"/>
    <col min="521" max="521" width="14.6666666666667" style="190" customWidth="1"/>
    <col min="522" max="762" width="11.3333333333333" style="190"/>
    <col min="763" max="763" width="10.1111111111111" style="190" customWidth="1"/>
    <col min="764" max="764" width="25.3333333333333" style="190" customWidth="1"/>
    <col min="765" max="765" width="39.6666666666667" style="190" customWidth="1"/>
    <col min="766" max="766" width="107.111111111111" style="190" customWidth="1"/>
    <col min="767" max="767" width="11.4444444444444" style="190" customWidth="1"/>
    <col min="768" max="768" width="17" style="190" customWidth="1"/>
    <col min="769" max="769" width="16.3333333333333" style="190" customWidth="1"/>
    <col min="770" max="770" width="16.4444444444444" style="190" customWidth="1"/>
    <col min="771" max="771" width="29" style="190" customWidth="1"/>
    <col min="772" max="772" width="20.3333333333333" style="190" customWidth="1"/>
    <col min="773" max="773" width="16.4444444444444" style="190" customWidth="1"/>
    <col min="774" max="774" width="13.3333333333333" style="190" customWidth="1"/>
    <col min="775" max="775" width="26.7777777777778" style="190" customWidth="1"/>
    <col min="776" max="776" width="14.1111111111111" style="190" customWidth="1"/>
    <col min="777" max="777" width="14.6666666666667" style="190" customWidth="1"/>
    <col min="778" max="1018" width="11.3333333333333" style="190"/>
    <col min="1019" max="1019" width="10.1111111111111" style="190" customWidth="1"/>
    <col min="1020" max="1020" width="25.3333333333333" style="190" customWidth="1"/>
    <col min="1021" max="1021" width="39.6666666666667" style="190" customWidth="1"/>
    <col min="1022" max="1022" width="107.111111111111" style="190" customWidth="1"/>
    <col min="1023" max="1023" width="11.4444444444444" style="190" customWidth="1"/>
    <col min="1024" max="1024" width="17" style="190" customWidth="1"/>
    <col min="1025" max="1025" width="16.3333333333333" style="190" customWidth="1"/>
    <col min="1026" max="1026" width="16.4444444444444" style="190" customWidth="1"/>
    <col min="1027" max="1027" width="29" style="190" customWidth="1"/>
    <col min="1028" max="1028" width="20.3333333333333" style="190" customWidth="1"/>
    <col min="1029" max="1029" width="16.4444444444444" style="190" customWidth="1"/>
    <col min="1030" max="1030" width="13.3333333333333" style="190" customWidth="1"/>
    <col min="1031" max="1031" width="26.7777777777778" style="190" customWidth="1"/>
    <col min="1032" max="1032" width="14.1111111111111" style="190" customWidth="1"/>
    <col min="1033" max="1033" width="14.6666666666667" style="190" customWidth="1"/>
    <col min="1034" max="1274" width="11.3333333333333" style="190"/>
    <col min="1275" max="1275" width="10.1111111111111" style="190" customWidth="1"/>
    <col min="1276" max="1276" width="25.3333333333333" style="190" customWidth="1"/>
    <col min="1277" max="1277" width="39.6666666666667" style="190" customWidth="1"/>
    <col min="1278" max="1278" width="107.111111111111" style="190" customWidth="1"/>
    <col min="1279" max="1279" width="11.4444444444444" style="190" customWidth="1"/>
    <col min="1280" max="1280" width="17" style="190" customWidth="1"/>
    <col min="1281" max="1281" width="16.3333333333333" style="190" customWidth="1"/>
    <col min="1282" max="1282" width="16.4444444444444" style="190" customWidth="1"/>
    <col min="1283" max="1283" width="29" style="190" customWidth="1"/>
    <col min="1284" max="1284" width="20.3333333333333" style="190" customWidth="1"/>
    <col min="1285" max="1285" width="16.4444444444444" style="190" customWidth="1"/>
    <col min="1286" max="1286" width="13.3333333333333" style="190" customWidth="1"/>
    <col min="1287" max="1287" width="26.7777777777778" style="190" customWidth="1"/>
    <col min="1288" max="1288" width="14.1111111111111" style="190" customWidth="1"/>
    <col min="1289" max="1289" width="14.6666666666667" style="190" customWidth="1"/>
    <col min="1290" max="1530" width="11.3333333333333" style="190"/>
    <col min="1531" max="1531" width="10.1111111111111" style="190" customWidth="1"/>
    <col min="1532" max="1532" width="25.3333333333333" style="190" customWidth="1"/>
    <col min="1533" max="1533" width="39.6666666666667" style="190" customWidth="1"/>
    <col min="1534" max="1534" width="107.111111111111" style="190" customWidth="1"/>
    <col min="1535" max="1535" width="11.4444444444444" style="190" customWidth="1"/>
    <col min="1536" max="1536" width="17" style="190" customWidth="1"/>
    <col min="1537" max="1537" width="16.3333333333333" style="190" customWidth="1"/>
    <col min="1538" max="1538" width="16.4444444444444" style="190" customWidth="1"/>
    <col min="1539" max="1539" width="29" style="190" customWidth="1"/>
    <col min="1540" max="1540" width="20.3333333333333" style="190" customWidth="1"/>
    <col min="1541" max="1541" width="16.4444444444444" style="190" customWidth="1"/>
    <col min="1542" max="1542" width="13.3333333333333" style="190" customWidth="1"/>
    <col min="1543" max="1543" width="26.7777777777778" style="190" customWidth="1"/>
    <col min="1544" max="1544" width="14.1111111111111" style="190" customWidth="1"/>
    <col min="1545" max="1545" width="14.6666666666667" style="190" customWidth="1"/>
    <col min="1546" max="1786" width="11.3333333333333" style="190"/>
    <col min="1787" max="1787" width="10.1111111111111" style="190" customWidth="1"/>
    <col min="1788" max="1788" width="25.3333333333333" style="190" customWidth="1"/>
    <col min="1789" max="1789" width="39.6666666666667" style="190" customWidth="1"/>
    <col min="1790" max="1790" width="107.111111111111" style="190" customWidth="1"/>
    <col min="1791" max="1791" width="11.4444444444444" style="190" customWidth="1"/>
    <col min="1792" max="1792" width="17" style="190" customWidth="1"/>
    <col min="1793" max="1793" width="16.3333333333333" style="190" customWidth="1"/>
    <col min="1794" max="1794" width="16.4444444444444" style="190" customWidth="1"/>
    <col min="1795" max="1795" width="29" style="190" customWidth="1"/>
    <col min="1796" max="1796" width="20.3333333333333" style="190" customWidth="1"/>
    <col min="1797" max="1797" width="16.4444444444444" style="190" customWidth="1"/>
    <col min="1798" max="1798" width="13.3333333333333" style="190" customWidth="1"/>
    <col min="1799" max="1799" width="26.7777777777778" style="190" customWidth="1"/>
    <col min="1800" max="1800" width="14.1111111111111" style="190" customWidth="1"/>
    <col min="1801" max="1801" width="14.6666666666667" style="190" customWidth="1"/>
    <col min="1802" max="2042" width="11.3333333333333" style="190"/>
    <col min="2043" max="2043" width="10.1111111111111" style="190" customWidth="1"/>
    <col min="2044" max="2044" width="25.3333333333333" style="190" customWidth="1"/>
    <col min="2045" max="2045" width="39.6666666666667" style="190" customWidth="1"/>
    <col min="2046" max="2046" width="107.111111111111" style="190" customWidth="1"/>
    <col min="2047" max="2047" width="11.4444444444444" style="190" customWidth="1"/>
    <col min="2048" max="2048" width="17" style="190" customWidth="1"/>
    <col min="2049" max="2049" width="16.3333333333333" style="190" customWidth="1"/>
    <col min="2050" max="2050" width="16.4444444444444" style="190" customWidth="1"/>
    <col min="2051" max="2051" width="29" style="190" customWidth="1"/>
    <col min="2052" max="2052" width="20.3333333333333" style="190" customWidth="1"/>
    <col min="2053" max="2053" width="16.4444444444444" style="190" customWidth="1"/>
    <col min="2054" max="2054" width="13.3333333333333" style="190" customWidth="1"/>
    <col min="2055" max="2055" width="26.7777777777778" style="190" customWidth="1"/>
    <col min="2056" max="2056" width="14.1111111111111" style="190" customWidth="1"/>
    <col min="2057" max="2057" width="14.6666666666667" style="190" customWidth="1"/>
    <col min="2058" max="2298" width="11.3333333333333" style="190"/>
    <col min="2299" max="2299" width="10.1111111111111" style="190" customWidth="1"/>
    <col min="2300" max="2300" width="25.3333333333333" style="190" customWidth="1"/>
    <col min="2301" max="2301" width="39.6666666666667" style="190" customWidth="1"/>
    <col min="2302" max="2302" width="107.111111111111" style="190" customWidth="1"/>
    <col min="2303" max="2303" width="11.4444444444444" style="190" customWidth="1"/>
    <col min="2304" max="2304" width="17" style="190" customWidth="1"/>
    <col min="2305" max="2305" width="16.3333333333333" style="190" customWidth="1"/>
    <col min="2306" max="2306" width="16.4444444444444" style="190" customWidth="1"/>
    <col min="2307" max="2307" width="29" style="190" customWidth="1"/>
    <col min="2308" max="2308" width="20.3333333333333" style="190" customWidth="1"/>
    <col min="2309" max="2309" width="16.4444444444444" style="190" customWidth="1"/>
    <col min="2310" max="2310" width="13.3333333333333" style="190" customWidth="1"/>
    <col min="2311" max="2311" width="26.7777777777778" style="190" customWidth="1"/>
    <col min="2312" max="2312" width="14.1111111111111" style="190" customWidth="1"/>
    <col min="2313" max="2313" width="14.6666666666667" style="190" customWidth="1"/>
    <col min="2314" max="2554" width="11.3333333333333" style="190"/>
    <col min="2555" max="2555" width="10.1111111111111" style="190" customWidth="1"/>
    <col min="2556" max="2556" width="25.3333333333333" style="190" customWidth="1"/>
    <col min="2557" max="2557" width="39.6666666666667" style="190" customWidth="1"/>
    <col min="2558" max="2558" width="107.111111111111" style="190" customWidth="1"/>
    <col min="2559" max="2559" width="11.4444444444444" style="190" customWidth="1"/>
    <col min="2560" max="2560" width="17" style="190" customWidth="1"/>
    <col min="2561" max="2561" width="16.3333333333333" style="190" customWidth="1"/>
    <col min="2562" max="2562" width="16.4444444444444" style="190" customWidth="1"/>
    <col min="2563" max="2563" width="29" style="190" customWidth="1"/>
    <col min="2564" max="2564" width="20.3333333333333" style="190" customWidth="1"/>
    <col min="2565" max="2565" width="16.4444444444444" style="190" customWidth="1"/>
    <col min="2566" max="2566" width="13.3333333333333" style="190" customWidth="1"/>
    <col min="2567" max="2567" width="26.7777777777778" style="190" customWidth="1"/>
    <col min="2568" max="2568" width="14.1111111111111" style="190" customWidth="1"/>
    <col min="2569" max="2569" width="14.6666666666667" style="190" customWidth="1"/>
    <col min="2570" max="2810" width="11.3333333333333" style="190"/>
    <col min="2811" max="2811" width="10.1111111111111" style="190" customWidth="1"/>
    <col min="2812" max="2812" width="25.3333333333333" style="190" customWidth="1"/>
    <col min="2813" max="2813" width="39.6666666666667" style="190" customWidth="1"/>
    <col min="2814" max="2814" width="107.111111111111" style="190" customWidth="1"/>
    <col min="2815" max="2815" width="11.4444444444444" style="190" customWidth="1"/>
    <col min="2816" max="2816" width="17" style="190" customWidth="1"/>
    <col min="2817" max="2817" width="16.3333333333333" style="190" customWidth="1"/>
    <col min="2818" max="2818" width="16.4444444444444" style="190" customWidth="1"/>
    <col min="2819" max="2819" width="29" style="190" customWidth="1"/>
    <col min="2820" max="2820" width="20.3333333333333" style="190" customWidth="1"/>
    <col min="2821" max="2821" width="16.4444444444444" style="190" customWidth="1"/>
    <col min="2822" max="2822" width="13.3333333333333" style="190" customWidth="1"/>
    <col min="2823" max="2823" width="26.7777777777778" style="190" customWidth="1"/>
    <col min="2824" max="2824" width="14.1111111111111" style="190" customWidth="1"/>
    <col min="2825" max="2825" width="14.6666666666667" style="190" customWidth="1"/>
    <col min="2826" max="3066" width="11.3333333333333" style="190"/>
    <col min="3067" max="3067" width="10.1111111111111" style="190" customWidth="1"/>
    <col min="3068" max="3068" width="25.3333333333333" style="190" customWidth="1"/>
    <col min="3069" max="3069" width="39.6666666666667" style="190" customWidth="1"/>
    <col min="3070" max="3070" width="107.111111111111" style="190" customWidth="1"/>
    <col min="3071" max="3071" width="11.4444444444444" style="190" customWidth="1"/>
    <col min="3072" max="3072" width="17" style="190" customWidth="1"/>
    <col min="3073" max="3073" width="16.3333333333333" style="190" customWidth="1"/>
    <col min="3074" max="3074" width="16.4444444444444" style="190" customWidth="1"/>
    <col min="3075" max="3075" width="29" style="190" customWidth="1"/>
    <col min="3076" max="3076" width="20.3333333333333" style="190" customWidth="1"/>
    <col min="3077" max="3077" width="16.4444444444444" style="190" customWidth="1"/>
    <col min="3078" max="3078" width="13.3333333333333" style="190" customWidth="1"/>
    <col min="3079" max="3079" width="26.7777777777778" style="190" customWidth="1"/>
    <col min="3080" max="3080" width="14.1111111111111" style="190" customWidth="1"/>
    <col min="3081" max="3081" width="14.6666666666667" style="190" customWidth="1"/>
    <col min="3082" max="3322" width="11.3333333333333" style="190"/>
    <col min="3323" max="3323" width="10.1111111111111" style="190" customWidth="1"/>
    <col min="3324" max="3324" width="25.3333333333333" style="190" customWidth="1"/>
    <col min="3325" max="3325" width="39.6666666666667" style="190" customWidth="1"/>
    <col min="3326" max="3326" width="107.111111111111" style="190" customWidth="1"/>
    <col min="3327" max="3327" width="11.4444444444444" style="190" customWidth="1"/>
    <col min="3328" max="3328" width="17" style="190" customWidth="1"/>
    <col min="3329" max="3329" width="16.3333333333333" style="190" customWidth="1"/>
    <col min="3330" max="3330" width="16.4444444444444" style="190" customWidth="1"/>
    <col min="3331" max="3331" width="29" style="190" customWidth="1"/>
    <col min="3332" max="3332" width="20.3333333333333" style="190" customWidth="1"/>
    <col min="3333" max="3333" width="16.4444444444444" style="190" customWidth="1"/>
    <col min="3334" max="3334" width="13.3333333333333" style="190" customWidth="1"/>
    <col min="3335" max="3335" width="26.7777777777778" style="190" customWidth="1"/>
    <col min="3336" max="3336" width="14.1111111111111" style="190" customWidth="1"/>
    <col min="3337" max="3337" width="14.6666666666667" style="190" customWidth="1"/>
    <col min="3338" max="3578" width="11.3333333333333" style="190"/>
    <col min="3579" max="3579" width="10.1111111111111" style="190" customWidth="1"/>
    <col min="3580" max="3580" width="25.3333333333333" style="190" customWidth="1"/>
    <col min="3581" max="3581" width="39.6666666666667" style="190" customWidth="1"/>
    <col min="3582" max="3582" width="107.111111111111" style="190" customWidth="1"/>
    <col min="3583" max="3583" width="11.4444444444444" style="190" customWidth="1"/>
    <col min="3584" max="3584" width="17" style="190" customWidth="1"/>
    <col min="3585" max="3585" width="16.3333333333333" style="190" customWidth="1"/>
    <col min="3586" max="3586" width="16.4444444444444" style="190" customWidth="1"/>
    <col min="3587" max="3587" width="29" style="190" customWidth="1"/>
    <col min="3588" max="3588" width="20.3333333333333" style="190" customWidth="1"/>
    <col min="3589" max="3589" width="16.4444444444444" style="190" customWidth="1"/>
    <col min="3590" max="3590" width="13.3333333333333" style="190" customWidth="1"/>
    <col min="3591" max="3591" width="26.7777777777778" style="190" customWidth="1"/>
    <col min="3592" max="3592" width="14.1111111111111" style="190" customWidth="1"/>
    <col min="3593" max="3593" width="14.6666666666667" style="190" customWidth="1"/>
    <col min="3594" max="3834" width="11.3333333333333" style="190"/>
    <col min="3835" max="3835" width="10.1111111111111" style="190" customWidth="1"/>
    <col min="3836" max="3836" width="25.3333333333333" style="190" customWidth="1"/>
    <col min="3837" max="3837" width="39.6666666666667" style="190" customWidth="1"/>
    <col min="3838" max="3838" width="107.111111111111" style="190" customWidth="1"/>
    <col min="3839" max="3839" width="11.4444444444444" style="190" customWidth="1"/>
    <col min="3840" max="3840" width="17" style="190" customWidth="1"/>
    <col min="3841" max="3841" width="16.3333333333333" style="190" customWidth="1"/>
    <col min="3842" max="3842" width="16.4444444444444" style="190" customWidth="1"/>
    <col min="3843" max="3843" width="29" style="190" customWidth="1"/>
    <col min="3844" max="3844" width="20.3333333333333" style="190" customWidth="1"/>
    <col min="3845" max="3845" width="16.4444444444444" style="190" customWidth="1"/>
    <col min="3846" max="3846" width="13.3333333333333" style="190" customWidth="1"/>
    <col min="3847" max="3847" width="26.7777777777778" style="190" customWidth="1"/>
    <col min="3848" max="3848" width="14.1111111111111" style="190" customWidth="1"/>
    <col min="3849" max="3849" width="14.6666666666667" style="190" customWidth="1"/>
    <col min="3850" max="4090" width="11.3333333333333" style="190"/>
    <col min="4091" max="4091" width="10.1111111111111" style="190" customWidth="1"/>
    <col min="4092" max="4092" width="25.3333333333333" style="190" customWidth="1"/>
    <col min="4093" max="4093" width="39.6666666666667" style="190" customWidth="1"/>
    <col min="4094" max="4094" width="107.111111111111" style="190" customWidth="1"/>
    <col min="4095" max="4095" width="11.4444444444444" style="190" customWidth="1"/>
    <col min="4096" max="4096" width="17" style="190" customWidth="1"/>
    <col min="4097" max="4097" width="16.3333333333333" style="190" customWidth="1"/>
    <col min="4098" max="4098" width="16.4444444444444" style="190" customWidth="1"/>
    <col min="4099" max="4099" width="29" style="190" customWidth="1"/>
    <col min="4100" max="4100" width="20.3333333333333" style="190" customWidth="1"/>
    <col min="4101" max="4101" width="16.4444444444444" style="190" customWidth="1"/>
    <col min="4102" max="4102" width="13.3333333333333" style="190" customWidth="1"/>
    <col min="4103" max="4103" width="26.7777777777778" style="190" customWidth="1"/>
    <col min="4104" max="4104" width="14.1111111111111" style="190" customWidth="1"/>
    <col min="4105" max="4105" width="14.6666666666667" style="190" customWidth="1"/>
    <col min="4106" max="4346" width="11.3333333333333" style="190"/>
    <col min="4347" max="4347" width="10.1111111111111" style="190" customWidth="1"/>
    <col min="4348" max="4348" width="25.3333333333333" style="190" customWidth="1"/>
    <col min="4349" max="4349" width="39.6666666666667" style="190" customWidth="1"/>
    <col min="4350" max="4350" width="107.111111111111" style="190" customWidth="1"/>
    <col min="4351" max="4351" width="11.4444444444444" style="190" customWidth="1"/>
    <col min="4352" max="4352" width="17" style="190" customWidth="1"/>
    <col min="4353" max="4353" width="16.3333333333333" style="190" customWidth="1"/>
    <col min="4354" max="4354" width="16.4444444444444" style="190" customWidth="1"/>
    <col min="4355" max="4355" width="29" style="190" customWidth="1"/>
    <col min="4356" max="4356" width="20.3333333333333" style="190" customWidth="1"/>
    <col min="4357" max="4357" width="16.4444444444444" style="190" customWidth="1"/>
    <col min="4358" max="4358" width="13.3333333333333" style="190" customWidth="1"/>
    <col min="4359" max="4359" width="26.7777777777778" style="190" customWidth="1"/>
    <col min="4360" max="4360" width="14.1111111111111" style="190" customWidth="1"/>
    <col min="4361" max="4361" width="14.6666666666667" style="190" customWidth="1"/>
    <col min="4362" max="4602" width="11.3333333333333" style="190"/>
    <col min="4603" max="4603" width="10.1111111111111" style="190" customWidth="1"/>
    <col min="4604" max="4604" width="25.3333333333333" style="190" customWidth="1"/>
    <col min="4605" max="4605" width="39.6666666666667" style="190" customWidth="1"/>
    <col min="4606" max="4606" width="107.111111111111" style="190" customWidth="1"/>
    <col min="4607" max="4607" width="11.4444444444444" style="190" customWidth="1"/>
    <col min="4608" max="4608" width="17" style="190" customWidth="1"/>
    <col min="4609" max="4609" width="16.3333333333333" style="190" customWidth="1"/>
    <col min="4610" max="4610" width="16.4444444444444" style="190" customWidth="1"/>
    <col min="4611" max="4611" width="29" style="190" customWidth="1"/>
    <col min="4612" max="4612" width="20.3333333333333" style="190" customWidth="1"/>
    <col min="4613" max="4613" width="16.4444444444444" style="190" customWidth="1"/>
    <col min="4614" max="4614" width="13.3333333333333" style="190" customWidth="1"/>
    <col min="4615" max="4615" width="26.7777777777778" style="190" customWidth="1"/>
    <col min="4616" max="4616" width="14.1111111111111" style="190" customWidth="1"/>
    <col min="4617" max="4617" width="14.6666666666667" style="190" customWidth="1"/>
    <col min="4618" max="4858" width="11.3333333333333" style="190"/>
    <col min="4859" max="4859" width="10.1111111111111" style="190" customWidth="1"/>
    <col min="4860" max="4860" width="25.3333333333333" style="190" customWidth="1"/>
    <col min="4861" max="4861" width="39.6666666666667" style="190" customWidth="1"/>
    <col min="4862" max="4862" width="107.111111111111" style="190" customWidth="1"/>
    <col min="4863" max="4863" width="11.4444444444444" style="190" customWidth="1"/>
    <col min="4864" max="4864" width="17" style="190" customWidth="1"/>
    <col min="4865" max="4865" width="16.3333333333333" style="190" customWidth="1"/>
    <col min="4866" max="4866" width="16.4444444444444" style="190" customWidth="1"/>
    <col min="4867" max="4867" width="29" style="190" customWidth="1"/>
    <col min="4868" max="4868" width="20.3333333333333" style="190" customWidth="1"/>
    <col min="4869" max="4869" width="16.4444444444444" style="190" customWidth="1"/>
    <col min="4870" max="4870" width="13.3333333333333" style="190" customWidth="1"/>
    <col min="4871" max="4871" width="26.7777777777778" style="190" customWidth="1"/>
    <col min="4872" max="4872" width="14.1111111111111" style="190" customWidth="1"/>
    <col min="4873" max="4873" width="14.6666666666667" style="190" customWidth="1"/>
    <col min="4874" max="5114" width="11.3333333333333" style="190"/>
    <col min="5115" max="5115" width="10.1111111111111" style="190" customWidth="1"/>
    <col min="5116" max="5116" width="25.3333333333333" style="190" customWidth="1"/>
    <col min="5117" max="5117" width="39.6666666666667" style="190" customWidth="1"/>
    <col min="5118" max="5118" width="107.111111111111" style="190" customWidth="1"/>
    <col min="5119" max="5119" width="11.4444444444444" style="190" customWidth="1"/>
    <col min="5120" max="5120" width="17" style="190" customWidth="1"/>
    <col min="5121" max="5121" width="16.3333333333333" style="190" customWidth="1"/>
    <col min="5122" max="5122" width="16.4444444444444" style="190" customWidth="1"/>
    <col min="5123" max="5123" width="29" style="190" customWidth="1"/>
    <col min="5124" max="5124" width="20.3333333333333" style="190" customWidth="1"/>
    <col min="5125" max="5125" width="16.4444444444444" style="190" customWidth="1"/>
    <col min="5126" max="5126" width="13.3333333333333" style="190" customWidth="1"/>
    <col min="5127" max="5127" width="26.7777777777778" style="190" customWidth="1"/>
    <col min="5128" max="5128" width="14.1111111111111" style="190" customWidth="1"/>
    <col min="5129" max="5129" width="14.6666666666667" style="190" customWidth="1"/>
    <col min="5130" max="5370" width="11.3333333333333" style="190"/>
    <col min="5371" max="5371" width="10.1111111111111" style="190" customWidth="1"/>
    <col min="5372" max="5372" width="25.3333333333333" style="190" customWidth="1"/>
    <col min="5373" max="5373" width="39.6666666666667" style="190" customWidth="1"/>
    <col min="5374" max="5374" width="107.111111111111" style="190" customWidth="1"/>
    <col min="5375" max="5375" width="11.4444444444444" style="190" customWidth="1"/>
    <col min="5376" max="5376" width="17" style="190" customWidth="1"/>
    <col min="5377" max="5377" width="16.3333333333333" style="190" customWidth="1"/>
    <col min="5378" max="5378" width="16.4444444444444" style="190" customWidth="1"/>
    <col min="5379" max="5379" width="29" style="190" customWidth="1"/>
    <col min="5380" max="5380" width="20.3333333333333" style="190" customWidth="1"/>
    <col min="5381" max="5381" width="16.4444444444444" style="190" customWidth="1"/>
    <col min="5382" max="5382" width="13.3333333333333" style="190" customWidth="1"/>
    <col min="5383" max="5383" width="26.7777777777778" style="190" customWidth="1"/>
    <col min="5384" max="5384" width="14.1111111111111" style="190" customWidth="1"/>
    <col min="5385" max="5385" width="14.6666666666667" style="190" customWidth="1"/>
    <col min="5386" max="5626" width="11.3333333333333" style="190"/>
    <col min="5627" max="5627" width="10.1111111111111" style="190" customWidth="1"/>
    <col min="5628" max="5628" width="25.3333333333333" style="190" customWidth="1"/>
    <col min="5629" max="5629" width="39.6666666666667" style="190" customWidth="1"/>
    <col min="5630" max="5630" width="107.111111111111" style="190" customWidth="1"/>
    <col min="5631" max="5631" width="11.4444444444444" style="190" customWidth="1"/>
    <col min="5632" max="5632" width="17" style="190" customWidth="1"/>
    <col min="5633" max="5633" width="16.3333333333333" style="190" customWidth="1"/>
    <col min="5634" max="5634" width="16.4444444444444" style="190" customWidth="1"/>
    <col min="5635" max="5635" width="29" style="190" customWidth="1"/>
    <col min="5636" max="5636" width="20.3333333333333" style="190" customWidth="1"/>
    <col min="5637" max="5637" width="16.4444444444444" style="190" customWidth="1"/>
    <col min="5638" max="5638" width="13.3333333333333" style="190" customWidth="1"/>
    <col min="5639" max="5639" width="26.7777777777778" style="190" customWidth="1"/>
    <col min="5640" max="5640" width="14.1111111111111" style="190" customWidth="1"/>
    <col min="5641" max="5641" width="14.6666666666667" style="190" customWidth="1"/>
    <col min="5642" max="5882" width="11.3333333333333" style="190"/>
    <col min="5883" max="5883" width="10.1111111111111" style="190" customWidth="1"/>
    <col min="5884" max="5884" width="25.3333333333333" style="190" customWidth="1"/>
    <col min="5885" max="5885" width="39.6666666666667" style="190" customWidth="1"/>
    <col min="5886" max="5886" width="107.111111111111" style="190" customWidth="1"/>
    <col min="5887" max="5887" width="11.4444444444444" style="190" customWidth="1"/>
    <col min="5888" max="5888" width="17" style="190" customWidth="1"/>
    <col min="5889" max="5889" width="16.3333333333333" style="190" customWidth="1"/>
    <col min="5890" max="5890" width="16.4444444444444" style="190" customWidth="1"/>
    <col min="5891" max="5891" width="29" style="190" customWidth="1"/>
    <col min="5892" max="5892" width="20.3333333333333" style="190" customWidth="1"/>
    <col min="5893" max="5893" width="16.4444444444444" style="190" customWidth="1"/>
    <col min="5894" max="5894" width="13.3333333333333" style="190" customWidth="1"/>
    <col min="5895" max="5895" width="26.7777777777778" style="190" customWidth="1"/>
    <col min="5896" max="5896" width="14.1111111111111" style="190" customWidth="1"/>
    <col min="5897" max="5897" width="14.6666666666667" style="190" customWidth="1"/>
    <col min="5898" max="6138" width="11.3333333333333" style="190"/>
    <col min="6139" max="6139" width="10.1111111111111" style="190" customWidth="1"/>
    <col min="6140" max="6140" width="25.3333333333333" style="190" customWidth="1"/>
    <col min="6141" max="6141" width="39.6666666666667" style="190" customWidth="1"/>
    <col min="6142" max="6142" width="107.111111111111" style="190" customWidth="1"/>
    <col min="6143" max="6143" width="11.4444444444444" style="190" customWidth="1"/>
    <col min="6144" max="6144" width="17" style="190" customWidth="1"/>
    <col min="6145" max="6145" width="16.3333333333333" style="190" customWidth="1"/>
    <col min="6146" max="6146" width="16.4444444444444" style="190" customWidth="1"/>
    <col min="6147" max="6147" width="29" style="190" customWidth="1"/>
    <col min="6148" max="6148" width="20.3333333333333" style="190" customWidth="1"/>
    <col min="6149" max="6149" width="16.4444444444444" style="190" customWidth="1"/>
    <col min="6150" max="6150" width="13.3333333333333" style="190" customWidth="1"/>
    <col min="6151" max="6151" width="26.7777777777778" style="190" customWidth="1"/>
    <col min="6152" max="6152" width="14.1111111111111" style="190" customWidth="1"/>
    <col min="6153" max="6153" width="14.6666666666667" style="190" customWidth="1"/>
    <col min="6154" max="6394" width="11.3333333333333" style="190"/>
    <col min="6395" max="6395" width="10.1111111111111" style="190" customWidth="1"/>
    <col min="6396" max="6396" width="25.3333333333333" style="190" customWidth="1"/>
    <col min="6397" max="6397" width="39.6666666666667" style="190" customWidth="1"/>
    <col min="6398" max="6398" width="107.111111111111" style="190" customWidth="1"/>
    <col min="6399" max="6399" width="11.4444444444444" style="190" customWidth="1"/>
    <col min="6400" max="6400" width="17" style="190" customWidth="1"/>
    <col min="6401" max="6401" width="16.3333333333333" style="190" customWidth="1"/>
    <col min="6402" max="6402" width="16.4444444444444" style="190" customWidth="1"/>
    <col min="6403" max="6403" width="29" style="190" customWidth="1"/>
    <col min="6404" max="6404" width="20.3333333333333" style="190" customWidth="1"/>
    <col min="6405" max="6405" width="16.4444444444444" style="190" customWidth="1"/>
    <col min="6406" max="6406" width="13.3333333333333" style="190" customWidth="1"/>
    <col min="6407" max="6407" width="26.7777777777778" style="190" customWidth="1"/>
    <col min="6408" max="6408" width="14.1111111111111" style="190" customWidth="1"/>
    <col min="6409" max="6409" width="14.6666666666667" style="190" customWidth="1"/>
    <col min="6410" max="6650" width="11.3333333333333" style="190"/>
    <col min="6651" max="6651" width="10.1111111111111" style="190" customWidth="1"/>
    <col min="6652" max="6652" width="25.3333333333333" style="190" customWidth="1"/>
    <col min="6653" max="6653" width="39.6666666666667" style="190" customWidth="1"/>
    <col min="6654" max="6654" width="107.111111111111" style="190" customWidth="1"/>
    <col min="6655" max="6655" width="11.4444444444444" style="190" customWidth="1"/>
    <col min="6656" max="6656" width="17" style="190" customWidth="1"/>
    <col min="6657" max="6657" width="16.3333333333333" style="190" customWidth="1"/>
    <col min="6658" max="6658" width="16.4444444444444" style="190" customWidth="1"/>
    <col min="6659" max="6659" width="29" style="190" customWidth="1"/>
    <col min="6660" max="6660" width="20.3333333333333" style="190" customWidth="1"/>
    <col min="6661" max="6661" width="16.4444444444444" style="190" customWidth="1"/>
    <col min="6662" max="6662" width="13.3333333333333" style="190" customWidth="1"/>
    <col min="6663" max="6663" width="26.7777777777778" style="190" customWidth="1"/>
    <col min="6664" max="6664" width="14.1111111111111" style="190" customWidth="1"/>
    <col min="6665" max="6665" width="14.6666666666667" style="190" customWidth="1"/>
    <col min="6666" max="6906" width="11.3333333333333" style="190"/>
    <col min="6907" max="6907" width="10.1111111111111" style="190" customWidth="1"/>
    <col min="6908" max="6908" width="25.3333333333333" style="190" customWidth="1"/>
    <col min="6909" max="6909" width="39.6666666666667" style="190" customWidth="1"/>
    <col min="6910" max="6910" width="107.111111111111" style="190" customWidth="1"/>
    <col min="6911" max="6911" width="11.4444444444444" style="190" customWidth="1"/>
    <col min="6912" max="6912" width="17" style="190" customWidth="1"/>
    <col min="6913" max="6913" width="16.3333333333333" style="190" customWidth="1"/>
    <col min="6914" max="6914" width="16.4444444444444" style="190" customWidth="1"/>
    <col min="6915" max="6915" width="29" style="190" customWidth="1"/>
    <col min="6916" max="6916" width="20.3333333333333" style="190" customWidth="1"/>
    <col min="6917" max="6917" width="16.4444444444444" style="190" customWidth="1"/>
    <col min="6918" max="6918" width="13.3333333333333" style="190" customWidth="1"/>
    <col min="6919" max="6919" width="26.7777777777778" style="190" customWidth="1"/>
    <col min="6920" max="6920" width="14.1111111111111" style="190" customWidth="1"/>
    <col min="6921" max="6921" width="14.6666666666667" style="190" customWidth="1"/>
    <col min="6922" max="7162" width="11.3333333333333" style="190"/>
    <col min="7163" max="7163" width="10.1111111111111" style="190" customWidth="1"/>
    <col min="7164" max="7164" width="25.3333333333333" style="190" customWidth="1"/>
    <col min="7165" max="7165" width="39.6666666666667" style="190" customWidth="1"/>
    <col min="7166" max="7166" width="107.111111111111" style="190" customWidth="1"/>
    <col min="7167" max="7167" width="11.4444444444444" style="190" customWidth="1"/>
    <col min="7168" max="7168" width="17" style="190" customWidth="1"/>
    <col min="7169" max="7169" width="16.3333333333333" style="190" customWidth="1"/>
    <col min="7170" max="7170" width="16.4444444444444" style="190" customWidth="1"/>
    <col min="7171" max="7171" width="29" style="190" customWidth="1"/>
    <col min="7172" max="7172" width="20.3333333333333" style="190" customWidth="1"/>
    <col min="7173" max="7173" width="16.4444444444444" style="190" customWidth="1"/>
    <col min="7174" max="7174" width="13.3333333333333" style="190" customWidth="1"/>
    <col min="7175" max="7175" width="26.7777777777778" style="190" customWidth="1"/>
    <col min="7176" max="7176" width="14.1111111111111" style="190" customWidth="1"/>
    <col min="7177" max="7177" width="14.6666666666667" style="190" customWidth="1"/>
    <col min="7178" max="7418" width="11.3333333333333" style="190"/>
    <col min="7419" max="7419" width="10.1111111111111" style="190" customWidth="1"/>
    <col min="7420" max="7420" width="25.3333333333333" style="190" customWidth="1"/>
    <col min="7421" max="7421" width="39.6666666666667" style="190" customWidth="1"/>
    <col min="7422" max="7422" width="107.111111111111" style="190" customWidth="1"/>
    <col min="7423" max="7423" width="11.4444444444444" style="190" customWidth="1"/>
    <col min="7424" max="7424" width="17" style="190" customWidth="1"/>
    <col min="7425" max="7425" width="16.3333333333333" style="190" customWidth="1"/>
    <col min="7426" max="7426" width="16.4444444444444" style="190" customWidth="1"/>
    <col min="7427" max="7427" width="29" style="190" customWidth="1"/>
    <col min="7428" max="7428" width="20.3333333333333" style="190" customWidth="1"/>
    <col min="7429" max="7429" width="16.4444444444444" style="190" customWidth="1"/>
    <col min="7430" max="7430" width="13.3333333333333" style="190" customWidth="1"/>
    <col min="7431" max="7431" width="26.7777777777778" style="190" customWidth="1"/>
    <col min="7432" max="7432" width="14.1111111111111" style="190" customWidth="1"/>
    <col min="7433" max="7433" width="14.6666666666667" style="190" customWidth="1"/>
    <col min="7434" max="7674" width="11.3333333333333" style="190"/>
    <col min="7675" max="7675" width="10.1111111111111" style="190" customWidth="1"/>
    <col min="7676" max="7676" width="25.3333333333333" style="190" customWidth="1"/>
    <col min="7677" max="7677" width="39.6666666666667" style="190" customWidth="1"/>
    <col min="7678" max="7678" width="107.111111111111" style="190" customWidth="1"/>
    <col min="7679" max="7679" width="11.4444444444444" style="190" customWidth="1"/>
    <col min="7680" max="7680" width="17" style="190" customWidth="1"/>
    <col min="7681" max="7681" width="16.3333333333333" style="190" customWidth="1"/>
    <col min="7682" max="7682" width="16.4444444444444" style="190" customWidth="1"/>
    <col min="7683" max="7683" width="29" style="190" customWidth="1"/>
    <col min="7684" max="7684" width="20.3333333333333" style="190" customWidth="1"/>
    <col min="7685" max="7685" width="16.4444444444444" style="190" customWidth="1"/>
    <col min="7686" max="7686" width="13.3333333333333" style="190" customWidth="1"/>
    <col min="7687" max="7687" width="26.7777777777778" style="190" customWidth="1"/>
    <col min="7688" max="7688" width="14.1111111111111" style="190" customWidth="1"/>
    <col min="7689" max="7689" width="14.6666666666667" style="190" customWidth="1"/>
    <col min="7690" max="7930" width="11.3333333333333" style="190"/>
    <col min="7931" max="7931" width="10.1111111111111" style="190" customWidth="1"/>
    <col min="7932" max="7932" width="25.3333333333333" style="190" customWidth="1"/>
    <col min="7933" max="7933" width="39.6666666666667" style="190" customWidth="1"/>
    <col min="7934" max="7934" width="107.111111111111" style="190" customWidth="1"/>
    <col min="7935" max="7935" width="11.4444444444444" style="190" customWidth="1"/>
    <col min="7936" max="7936" width="17" style="190" customWidth="1"/>
    <col min="7937" max="7937" width="16.3333333333333" style="190" customWidth="1"/>
    <col min="7938" max="7938" width="16.4444444444444" style="190" customWidth="1"/>
    <col min="7939" max="7939" width="29" style="190" customWidth="1"/>
    <col min="7940" max="7940" width="20.3333333333333" style="190" customWidth="1"/>
    <col min="7941" max="7941" width="16.4444444444444" style="190" customWidth="1"/>
    <col min="7942" max="7942" width="13.3333333333333" style="190" customWidth="1"/>
    <col min="7943" max="7943" width="26.7777777777778" style="190" customWidth="1"/>
    <col min="7944" max="7944" width="14.1111111111111" style="190" customWidth="1"/>
    <col min="7945" max="7945" width="14.6666666666667" style="190" customWidth="1"/>
    <col min="7946" max="8186" width="11.3333333333333" style="190"/>
    <col min="8187" max="8187" width="10.1111111111111" style="190" customWidth="1"/>
    <col min="8188" max="8188" width="25.3333333333333" style="190" customWidth="1"/>
    <col min="8189" max="8189" width="39.6666666666667" style="190" customWidth="1"/>
    <col min="8190" max="8190" width="107.111111111111" style="190" customWidth="1"/>
    <col min="8191" max="8191" width="11.4444444444444" style="190" customWidth="1"/>
    <col min="8192" max="8192" width="17" style="190" customWidth="1"/>
    <col min="8193" max="8193" width="16.3333333333333" style="190" customWidth="1"/>
    <col min="8194" max="8194" width="16.4444444444444" style="190" customWidth="1"/>
    <col min="8195" max="8195" width="29" style="190" customWidth="1"/>
    <col min="8196" max="8196" width="20.3333333333333" style="190" customWidth="1"/>
    <col min="8197" max="8197" width="16.4444444444444" style="190" customWidth="1"/>
    <col min="8198" max="8198" width="13.3333333333333" style="190" customWidth="1"/>
    <col min="8199" max="8199" width="26.7777777777778" style="190" customWidth="1"/>
    <col min="8200" max="8200" width="14.1111111111111" style="190" customWidth="1"/>
    <col min="8201" max="8201" width="14.6666666666667" style="190" customWidth="1"/>
    <col min="8202" max="8442" width="11.3333333333333" style="190"/>
    <col min="8443" max="8443" width="10.1111111111111" style="190" customWidth="1"/>
    <col min="8444" max="8444" width="25.3333333333333" style="190" customWidth="1"/>
    <col min="8445" max="8445" width="39.6666666666667" style="190" customWidth="1"/>
    <col min="8446" max="8446" width="107.111111111111" style="190" customWidth="1"/>
    <col min="8447" max="8447" width="11.4444444444444" style="190" customWidth="1"/>
    <col min="8448" max="8448" width="17" style="190" customWidth="1"/>
    <col min="8449" max="8449" width="16.3333333333333" style="190" customWidth="1"/>
    <col min="8450" max="8450" width="16.4444444444444" style="190" customWidth="1"/>
    <col min="8451" max="8451" width="29" style="190" customWidth="1"/>
    <col min="8452" max="8452" width="20.3333333333333" style="190" customWidth="1"/>
    <col min="8453" max="8453" width="16.4444444444444" style="190" customWidth="1"/>
    <col min="8454" max="8454" width="13.3333333333333" style="190" customWidth="1"/>
    <col min="8455" max="8455" width="26.7777777777778" style="190" customWidth="1"/>
    <col min="8456" max="8456" width="14.1111111111111" style="190" customWidth="1"/>
    <col min="8457" max="8457" width="14.6666666666667" style="190" customWidth="1"/>
    <col min="8458" max="8698" width="11.3333333333333" style="190"/>
    <col min="8699" max="8699" width="10.1111111111111" style="190" customWidth="1"/>
    <col min="8700" max="8700" width="25.3333333333333" style="190" customWidth="1"/>
    <col min="8701" max="8701" width="39.6666666666667" style="190" customWidth="1"/>
    <col min="8702" max="8702" width="107.111111111111" style="190" customWidth="1"/>
    <col min="8703" max="8703" width="11.4444444444444" style="190" customWidth="1"/>
    <col min="8704" max="8704" width="17" style="190" customWidth="1"/>
    <col min="8705" max="8705" width="16.3333333333333" style="190" customWidth="1"/>
    <col min="8706" max="8706" width="16.4444444444444" style="190" customWidth="1"/>
    <col min="8707" max="8707" width="29" style="190" customWidth="1"/>
    <col min="8708" max="8708" width="20.3333333333333" style="190" customWidth="1"/>
    <col min="8709" max="8709" width="16.4444444444444" style="190" customWidth="1"/>
    <col min="8710" max="8710" width="13.3333333333333" style="190" customWidth="1"/>
    <col min="8711" max="8711" width="26.7777777777778" style="190" customWidth="1"/>
    <col min="8712" max="8712" width="14.1111111111111" style="190" customWidth="1"/>
    <col min="8713" max="8713" width="14.6666666666667" style="190" customWidth="1"/>
    <col min="8714" max="8954" width="11.3333333333333" style="190"/>
    <col min="8955" max="8955" width="10.1111111111111" style="190" customWidth="1"/>
    <col min="8956" max="8956" width="25.3333333333333" style="190" customWidth="1"/>
    <col min="8957" max="8957" width="39.6666666666667" style="190" customWidth="1"/>
    <col min="8958" max="8958" width="107.111111111111" style="190" customWidth="1"/>
    <col min="8959" max="8959" width="11.4444444444444" style="190" customWidth="1"/>
    <col min="8960" max="8960" width="17" style="190" customWidth="1"/>
    <col min="8961" max="8961" width="16.3333333333333" style="190" customWidth="1"/>
    <col min="8962" max="8962" width="16.4444444444444" style="190" customWidth="1"/>
    <col min="8963" max="8963" width="29" style="190" customWidth="1"/>
    <col min="8964" max="8964" width="20.3333333333333" style="190" customWidth="1"/>
    <col min="8965" max="8965" width="16.4444444444444" style="190" customWidth="1"/>
    <col min="8966" max="8966" width="13.3333333333333" style="190" customWidth="1"/>
    <col min="8967" max="8967" width="26.7777777777778" style="190" customWidth="1"/>
    <col min="8968" max="8968" width="14.1111111111111" style="190" customWidth="1"/>
    <col min="8969" max="8969" width="14.6666666666667" style="190" customWidth="1"/>
    <col min="8970" max="9210" width="11.3333333333333" style="190"/>
    <col min="9211" max="9211" width="10.1111111111111" style="190" customWidth="1"/>
    <col min="9212" max="9212" width="25.3333333333333" style="190" customWidth="1"/>
    <col min="9213" max="9213" width="39.6666666666667" style="190" customWidth="1"/>
    <col min="9214" max="9214" width="107.111111111111" style="190" customWidth="1"/>
    <col min="9215" max="9215" width="11.4444444444444" style="190" customWidth="1"/>
    <col min="9216" max="9216" width="17" style="190" customWidth="1"/>
    <col min="9217" max="9217" width="16.3333333333333" style="190" customWidth="1"/>
    <col min="9218" max="9218" width="16.4444444444444" style="190" customWidth="1"/>
    <col min="9219" max="9219" width="29" style="190" customWidth="1"/>
    <col min="9220" max="9220" width="20.3333333333333" style="190" customWidth="1"/>
    <col min="9221" max="9221" width="16.4444444444444" style="190" customWidth="1"/>
    <col min="9222" max="9222" width="13.3333333333333" style="190" customWidth="1"/>
    <col min="9223" max="9223" width="26.7777777777778" style="190" customWidth="1"/>
    <col min="9224" max="9224" width="14.1111111111111" style="190" customWidth="1"/>
    <col min="9225" max="9225" width="14.6666666666667" style="190" customWidth="1"/>
    <col min="9226" max="9466" width="11.3333333333333" style="190"/>
    <col min="9467" max="9467" width="10.1111111111111" style="190" customWidth="1"/>
    <col min="9468" max="9468" width="25.3333333333333" style="190" customWidth="1"/>
    <col min="9469" max="9469" width="39.6666666666667" style="190" customWidth="1"/>
    <col min="9470" max="9470" width="107.111111111111" style="190" customWidth="1"/>
    <col min="9471" max="9471" width="11.4444444444444" style="190" customWidth="1"/>
    <col min="9472" max="9472" width="17" style="190" customWidth="1"/>
    <col min="9473" max="9473" width="16.3333333333333" style="190" customWidth="1"/>
    <col min="9474" max="9474" width="16.4444444444444" style="190" customWidth="1"/>
    <col min="9475" max="9475" width="29" style="190" customWidth="1"/>
    <col min="9476" max="9476" width="20.3333333333333" style="190" customWidth="1"/>
    <col min="9477" max="9477" width="16.4444444444444" style="190" customWidth="1"/>
    <col min="9478" max="9478" width="13.3333333333333" style="190" customWidth="1"/>
    <col min="9479" max="9479" width="26.7777777777778" style="190" customWidth="1"/>
    <col min="9480" max="9480" width="14.1111111111111" style="190" customWidth="1"/>
    <col min="9481" max="9481" width="14.6666666666667" style="190" customWidth="1"/>
    <col min="9482" max="9722" width="11.3333333333333" style="190"/>
    <col min="9723" max="9723" width="10.1111111111111" style="190" customWidth="1"/>
    <col min="9724" max="9724" width="25.3333333333333" style="190" customWidth="1"/>
    <col min="9725" max="9725" width="39.6666666666667" style="190" customWidth="1"/>
    <col min="9726" max="9726" width="107.111111111111" style="190" customWidth="1"/>
    <col min="9727" max="9727" width="11.4444444444444" style="190" customWidth="1"/>
    <col min="9728" max="9728" width="17" style="190" customWidth="1"/>
    <col min="9729" max="9729" width="16.3333333333333" style="190" customWidth="1"/>
    <col min="9730" max="9730" width="16.4444444444444" style="190" customWidth="1"/>
    <col min="9731" max="9731" width="29" style="190" customWidth="1"/>
    <col min="9732" max="9732" width="20.3333333333333" style="190" customWidth="1"/>
    <col min="9733" max="9733" width="16.4444444444444" style="190" customWidth="1"/>
    <col min="9734" max="9734" width="13.3333333333333" style="190" customWidth="1"/>
    <col min="9735" max="9735" width="26.7777777777778" style="190" customWidth="1"/>
    <col min="9736" max="9736" width="14.1111111111111" style="190" customWidth="1"/>
    <col min="9737" max="9737" width="14.6666666666667" style="190" customWidth="1"/>
    <col min="9738" max="9978" width="11.3333333333333" style="190"/>
    <col min="9979" max="9979" width="10.1111111111111" style="190" customWidth="1"/>
    <col min="9980" max="9980" width="25.3333333333333" style="190" customWidth="1"/>
    <col min="9981" max="9981" width="39.6666666666667" style="190" customWidth="1"/>
    <col min="9982" max="9982" width="107.111111111111" style="190" customWidth="1"/>
    <col min="9983" max="9983" width="11.4444444444444" style="190" customWidth="1"/>
    <col min="9984" max="9984" width="17" style="190" customWidth="1"/>
    <col min="9985" max="9985" width="16.3333333333333" style="190" customWidth="1"/>
    <col min="9986" max="9986" width="16.4444444444444" style="190" customWidth="1"/>
    <col min="9987" max="9987" width="29" style="190" customWidth="1"/>
    <col min="9988" max="9988" width="20.3333333333333" style="190" customWidth="1"/>
    <col min="9989" max="9989" width="16.4444444444444" style="190" customWidth="1"/>
    <col min="9990" max="9990" width="13.3333333333333" style="190" customWidth="1"/>
    <col min="9991" max="9991" width="26.7777777777778" style="190" customWidth="1"/>
    <col min="9992" max="9992" width="14.1111111111111" style="190" customWidth="1"/>
    <col min="9993" max="9993" width="14.6666666666667" style="190" customWidth="1"/>
    <col min="9994" max="10234" width="11.3333333333333" style="190"/>
    <col min="10235" max="10235" width="10.1111111111111" style="190" customWidth="1"/>
    <col min="10236" max="10236" width="25.3333333333333" style="190" customWidth="1"/>
    <col min="10237" max="10237" width="39.6666666666667" style="190" customWidth="1"/>
    <col min="10238" max="10238" width="107.111111111111" style="190" customWidth="1"/>
    <col min="10239" max="10239" width="11.4444444444444" style="190" customWidth="1"/>
    <col min="10240" max="10240" width="17" style="190" customWidth="1"/>
    <col min="10241" max="10241" width="16.3333333333333" style="190" customWidth="1"/>
    <col min="10242" max="10242" width="16.4444444444444" style="190" customWidth="1"/>
    <col min="10243" max="10243" width="29" style="190" customWidth="1"/>
    <col min="10244" max="10244" width="20.3333333333333" style="190" customWidth="1"/>
    <col min="10245" max="10245" width="16.4444444444444" style="190" customWidth="1"/>
    <col min="10246" max="10246" width="13.3333333333333" style="190" customWidth="1"/>
    <col min="10247" max="10247" width="26.7777777777778" style="190" customWidth="1"/>
    <col min="10248" max="10248" width="14.1111111111111" style="190" customWidth="1"/>
    <col min="10249" max="10249" width="14.6666666666667" style="190" customWidth="1"/>
    <col min="10250" max="10490" width="11.3333333333333" style="190"/>
    <col min="10491" max="10491" width="10.1111111111111" style="190" customWidth="1"/>
    <col min="10492" max="10492" width="25.3333333333333" style="190" customWidth="1"/>
    <col min="10493" max="10493" width="39.6666666666667" style="190" customWidth="1"/>
    <col min="10494" max="10494" width="107.111111111111" style="190" customWidth="1"/>
    <col min="10495" max="10495" width="11.4444444444444" style="190" customWidth="1"/>
    <col min="10496" max="10496" width="17" style="190" customWidth="1"/>
    <col min="10497" max="10497" width="16.3333333333333" style="190" customWidth="1"/>
    <col min="10498" max="10498" width="16.4444444444444" style="190" customWidth="1"/>
    <col min="10499" max="10499" width="29" style="190" customWidth="1"/>
    <col min="10500" max="10500" width="20.3333333333333" style="190" customWidth="1"/>
    <col min="10501" max="10501" width="16.4444444444444" style="190" customWidth="1"/>
    <col min="10502" max="10502" width="13.3333333333333" style="190" customWidth="1"/>
    <col min="10503" max="10503" width="26.7777777777778" style="190" customWidth="1"/>
    <col min="10504" max="10504" width="14.1111111111111" style="190" customWidth="1"/>
    <col min="10505" max="10505" width="14.6666666666667" style="190" customWidth="1"/>
    <col min="10506" max="10746" width="11.3333333333333" style="190"/>
    <col min="10747" max="10747" width="10.1111111111111" style="190" customWidth="1"/>
    <col min="10748" max="10748" width="25.3333333333333" style="190" customWidth="1"/>
    <col min="10749" max="10749" width="39.6666666666667" style="190" customWidth="1"/>
    <col min="10750" max="10750" width="107.111111111111" style="190" customWidth="1"/>
    <col min="10751" max="10751" width="11.4444444444444" style="190" customWidth="1"/>
    <col min="10752" max="10752" width="17" style="190" customWidth="1"/>
    <col min="10753" max="10753" width="16.3333333333333" style="190" customWidth="1"/>
    <col min="10754" max="10754" width="16.4444444444444" style="190" customWidth="1"/>
    <col min="10755" max="10755" width="29" style="190" customWidth="1"/>
    <col min="10756" max="10756" width="20.3333333333333" style="190" customWidth="1"/>
    <col min="10757" max="10757" width="16.4444444444444" style="190" customWidth="1"/>
    <col min="10758" max="10758" width="13.3333333333333" style="190" customWidth="1"/>
    <col min="10759" max="10759" width="26.7777777777778" style="190" customWidth="1"/>
    <col min="10760" max="10760" width="14.1111111111111" style="190" customWidth="1"/>
    <col min="10761" max="10761" width="14.6666666666667" style="190" customWidth="1"/>
    <col min="10762" max="11002" width="11.3333333333333" style="190"/>
    <col min="11003" max="11003" width="10.1111111111111" style="190" customWidth="1"/>
    <col min="11004" max="11004" width="25.3333333333333" style="190" customWidth="1"/>
    <col min="11005" max="11005" width="39.6666666666667" style="190" customWidth="1"/>
    <col min="11006" max="11006" width="107.111111111111" style="190" customWidth="1"/>
    <col min="11007" max="11007" width="11.4444444444444" style="190" customWidth="1"/>
    <col min="11008" max="11008" width="17" style="190" customWidth="1"/>
    <col min="11009" max="11009" width="16.3333333333333" style="190" customWidth="1"/>
    <col min="11010" max="11010" width="16.4444444444444" style="190" customWidth="1"/>
    <col min="11011" max="11011" width="29" style="190" customWidth="1"/>
    <col min="11012" max="11012" width="20.3333333333333" style="190" customWidth="1"/>
    <col min="11013" max="11013" width="16.4444444444444" style="190" customWidth="1"/>
    <col min="11014" max="11014" width="13.3333333333333" style="190" customWidth="1"/>
    <col min="11015" max="11015" width="26.7777777777778" style="190" customWidth="1"/>
    <col min="11016" max="11016" width="14.1111111111111" style="190" customWidth="1"/>
    <col min="11017" max="11017" width="14.6666666666667" style="190" customWidth="1"/>
    <col min="11018" max="11258" width="11.3333333333333" style="190"/>
    <col min="11259" max="11259" width="10.1111111111111" style="190" customWidth="1"/>
    <col min="11260" max="11260" width="25.3333333333333" style="190" customWidth="1"/>
    <col min="11261" max="11261" width="39.6666666666667" style="190" customWidth="1"/>
    <col min="11262" max="11262" width="107.111111111111" style="190" customWidth="1"/>
    <col min="11263" max="11263" width="11.4444444444444" style="190" customWidth="1"/>
    <col min="11264" max="11264" width="17" style="190" customWidth="1"/>
    <col min="11265" max="11265" width="16.3333333333333" style="190" customWidth="1"/>
    <col min="11266" max="11266" width="16.4444444444444" style="190" customWidth="1"/>
    <col min="11267" max="11267" width="29" style="190" customWidth="1"/>
    <col min="11268" max="11268" width="20.3333333333333" style="190" customWidth="1"/>
    <col min="11269" max="11269" width="16.4444444444444" style="190" customWidth="1"/>
    <col min="11270" max="11270" width="13.3333333333333" style="190" customWidth="1"/>
    <col min="11271" max="11271" width="26.7777777777778" style="190" customWidth="1"/>
    <col min="11272" max="11272" width="14.1111111111111" style="190" customWidth="1"/>
    <col min="11273" max="11273" width="14.6666666666667" style="190" customWidth="1"/>
    <col min="11274" max="11514" width="11.3333333333333" style="190"/>
    <col min="11515" max="11515" width="10.1111111111111" style="190" customWidth="1"/>
    <col min="11516" max="11516" width="25.3333333333333" style="190" customWidth="1"/>
    <col min="11517" max="11517" width="39.6666666666667" style="190" customWidth="1"/>
    <col min="11518" max="11518" width="107.111111111111" style="190" customWidth="1"/>
    <col min="11519" max="11519" width="11.4444444444444" style="190" customWidth="1"/>
    <col min="11520" max="11520" width="17" style="190" customWidth="1"/>
    <col min="11521" max="11521" width="16.3333333333333" style="190" customWidth="1"/>
    <col min="11522" max="11522" width="16.4444444444444" style="190" customWidth="1"/>
    <col min="11523" max="11523" width="29" style="190" customWidth="1"/>
    <col min="11524" max="11524" width="20.3333333333333" style="190" customWidth="1"/>
    <col min="11525" max="11525" width="16.4444444444444" style="190" customWidth="1"/>
    <col min="11526" max="11526" width="13.3333333333333" style="190" customWidth="1"/>
    <col min="11527" max="11527" width="26.7777777777778" style="190" customWidth="1"/>
    <col min="11528" max="11528" width="14.1111111111111" style="190" customWidth="1"/>
    <col min="11529" max="11529" width="14.6666666666667" style="190" customWidth="1"/>
    <col min="11530" max="11770" width="11.3333333333333" style="190"/>
    <col min="11771" max="11771" width="10.1111111111111" style="190" customWidth="1"/>
    <col min="11772" max="11772" width="25.3333333333333" style="190" customWidth="1"/>
    <col min="11773" max="11773" width="39.6666666666667" style="190" customWidth="1"/>
    <col min="11774" max="11774" width="107.111111111111" style="190" customWidth="1"/>
    <col min="11775" max="11775" width="11.4444444444444" style="190" customWidth="1"/>
    <col min="11776" max="11776" width="17" style="190" customWidth="1"/>
    <col min="11777" max="11777" width="16.3333333333333" style="190" customWidth="1"/>
    <col min="11778" max="11778" width="16.4444444444444" style="190" customWidth="1"/>
    <col min="11779" max="11779" width="29" style="190" customWidth="1"/>
    <col min="11780" max="11780" width="20.3333333333333" style="190" customWidth="1"/>
    <col min="11781" max="11781" width="16.4444444444444" style="190" customWidth="1"/>
    <col min="11782" max="11782" width="13.3333333333333" style="190" customWidth="1"/>
    <col min="11783" max="11783" width="26.7777777777778" style="190" customWidth="1"/>
    <col min="11784" max="11784" width="14.1111111111111" style="190" customWidth="1"/>
    <col min="11785" max="11785" width="14.6666666666667" style="190" customWidth="1"/>
    <col min="11786" max="12026" width="11.3333333333333" style="190"/>
    <col min="12027" max="12027" width="10.1111111111111" style="190" customWidth="1"/>
    <col min="12028" max="12028" width="25.3333333333333" style="190" customWidth="1"/>
    <col min="12029" max="12029" width="39.6666666666667" style="190" customWidth="1"/>
    <col min="12030" max="12030" width="107.111111111111" style="190" customWidth="1"/>
    <col min="12031" max="12031" width="11.4444444444444" style="190" customWidth="1"/>
    <col min="12032" max="12032" width="17" style="190" customWidth="1"/>
    <col min="12033" max="12033" width="16.3333333333333" style="190" customWidth="1"/>
    <col min="12034" max="12034" width="16.4444444444444" style="190" customWidth="1"/>
    <col min="12035" max="12035" width="29" style="190" customWidth="1"/>
    <col min="12036" max="12036" width="20.3333333333333" style="190" customWidth="1"/>
    <col min="12037" max="12037" width="16.4444444444444" style="190" customWidth="1"/>
    <col min="12038" max="12038" width="13.3333333333333" style="190" customWidth="1"/>
    <col min="12039" max="12039" width="26.7777777777778" style="190" customWidth="1"/>
    <col min="12040" max="12040" width="14.1111111111111" style="190" customWidth="1"/>
    <col min="12041" max="12041" width="14.6666666666667" style="190" customWidth="1"/>
    <col min="12042" max="12282" width="11.3333333333333" style="190"/>
    <col min="12283" max="12283" width="10.1111111111111" style="190" customWidth="1"/>
    <col min="12284" max="12284" width="25.3333333333333" style="190" customWidth="1"/>
    <col min="12285" max="12285" width="39.6666666666667" style="190" customWidth="1"/>
    <col min="12286" max="12286" width="107.111111111111" style="190" customWidth="1"/>
    <col min="12287" max="12287" width="11.4444444444444" style="190" customWidth="1"/>
    <col min="12288" max="12288" width="17" style="190" customWidth="1"/>
    <col min="12289" max="12289" width="16.3333333333333" style="190" customWidth="1"/>
    <col min="12290" max="12290" width="16.4444444444444" style="190" customWidth="1"/>
    <col min="12291" max="12291" width="29" style="190" customWidth="1"/>
    <col min="12292" max="12292" width="20.3333333333333" style="190" customWidth="1"/>
    <col min="12293" max="12293" width="16.4444444444444" style="190" customWidth="1"/>
    <col min="12294" max="12294" width="13.3333333333333" style="190" customWidth="1"/>
    <col min="12295" max="12295" width="26.7777777777778" style="190" customWidth="1"/>
    <col min="12296" max="12296" width="14.1111111111111" style="190" customWidth="1"/>
    <col min="12297" max="12297" width="14.6666666666667" style="190" customWidth="1"/>
    <col min="12298" max="12538" width="11.3333333333333" style="190"/>
    <col min="12539" max="12539" width="10.1111111111111" style="190" customWidth="1"/>
    <col min="12540" max="12540" width="25.3333333333333" style="190" customWidth="1"/>
    <col min="12541" max="12541" width="39.6666666666667" style="190" customWidth="1"/>
    <col min="12542" max="12542" width="107.111111111111" style="190" customWidth="1"/>
    <col min="12543" max="12543" width="11.4444444444444" style="190" customWidth="1"/>
    <col min="12544" max="12544" width="17" style="190" customWidth="1"/>
    <col min="12545" max="12545" width="16.3333333333333" style="190" customWidth="1"/>
    <col min="12546" max="12546" width="16.4444444444444" style="190" customWidth="1"/>
    <col min="12547" max="12547" width="29" style="190" customWidth="1"/>
    <col min="12548" max="12548" width="20.3333333333333" style="190" customWidth="1"/>
    <col min="12549" max="12549" width="16.4444444444444" style="190" customWidth="1"/>
    <col min="12550" max="12550" width="13.3333333333333" style="190" customWidth="1"/>
    <col min="12551" max="12551" width="26.7777777777778" style="190" customWidth="1"/>
    <col min="12552" max="12552" width="14.1111111111111" style="190" customWidth="1"/>
    <col min="12553" max="12553" width="14.6666666666667" style="190" customWidth="1"/>
    <col min="12554" max="12794" width="11.3333333333333" style="190"/>
    <col min="12795" max="12795" width="10.1111111111111" style="190" customWidth="1"/>
    <col min="12796" max="12796" width="25.3333333333333" style="190" customWidth="1"/>
    <col min="12797" max="12797" width="39.6666666666667" style="190" customWidth="1"/>
    <col min="12798" max="12798" width="107.111111111111" style="190" customWidth="1"/>
    <col min="12799" max="12799" width="11.4444444444444" style="190" customWidth="1"/>
    <col min="12800" max="12800" width="17" style="190" customWidth="1"/>
    <col min="12801" max="12801" width="16.3333333333333" style="190" customWidth="1"/>
    <col min="12802" max="12802" width="16.4444444444444" style="190" customWidth="1"/>
    <col min="12803" max="12803" width="29" style="190" customWidth="1"/>
    <col min="12804" max="12804" width="20.3333333333333" style="190" customWidth="1"/>
    <col min="12805" max="12805" width="16.4444444444444" style="190" customWidth="1"/>
    <col min="12806" max="12806" width="13.3333333333333" style="190" customWidth="1"/>
    <col min="12807" max="12807" width="26.7777777777778" style="190" customWidth="1"/>
    <col min="12808" max="12808" width="14.1111111111111" style="190" customWidth="1"/>
    <col min="12809" max="12809" width="14.6666666666667" style="190" customWidth="1"/>
    <col min="12810" max="13050" width="11.3333333333333" style="190"/>
    <col min="13051" max="13051" width="10.1111111111111" style="190" customWidth="1"/>
    <col min="13052" max="13052" width="25.3333333333333" style="190" customWidth="1"/>
    <col min="13053" max="13053" width="39.6666666666667" style="190" customWidth="1"/>
    <col min="13054" max="13054" width="107.111111111111" style="190" customWidth="1"/>
    <col min="13055" max="13055" width="11.4444444444444" style="190" customWidth="1"/>
    <col min="13056" max="13056" width="17" style="190" customWidth="1"/>
    <col min="13057" max="13057" width="16.3333333333333" style="190" customWidth="1"/>
    <col min="13058" max="13058" width="16.4444444444444" style="190" customWidth="1"/>
    <col min="13059" max="13059" width="29" style="190" customWidth="1"/>
    <col min="13060" max="13060" width="20.3333333333333" style="190" customWidth="1"/>
    <col min="13061" max="13061" width="16.4444444444444" style="190" customWidth="1"/>
    <col min="13062" max="13062" width="13.3333333333333" style="190" customWidth="1"/>
    <col min="13063" max="13063" width="26.7777777777778" style="190" customWidth="1"/>
    <col min="13064" max="13064" width="14.1111111111111" style="190" customWidth="1"/>
    <col min="13065" max="13065" width="14.6666666666667" style="190" customWidth="1"/>
    <col min="13066" max="13306" width="11.3333333333333" style="190"/>
    <col min="13307" max="13307" width="10.1111111111111" style="190" customWidth="1"/>
    <col min="13308" max="13308" width="25.3333333333333" style="190" customWidth="1"/>
    <col min="13309" max="13309" width="39.6666666666667" style="190" customWidth="1"/>
    <col min="13310" max="13310" width="107.111111111111" style="190" customWidth="1"/>
    <col min="13311" max="13311" width="11.4444444444444" style="190" customWidth="1"/>
    <col min="13312" max="13312" width="17" style="190" customWidth="1"/>
    <col min="13313" max="13313" width="16.3333333333333" style="190" customWidth="1"/>
    <col min="13314" max="13314" width="16.4444444444444" style="190" customWidth="1"/>
    <col min="13315" max="13315" width="29" style="190" customWidth="1"/>
    <col min="13316" max="13316" width="20.3333333333333" style="190" customWidth="1"/>
    <col min="13317" max="13317" width="16.4444444444444" style="190" customWidth="1"/>
    <col min="13318" max="13318" width="13.3333333333333" style="190" customWidth="1"/>
    <col min="13319" max="13319" width="26.7777777777778" style="190" customWidth="1"/>
    <col min="13320" max="13320" width="14.1111111111111" style="190" customWidth="1"/>
    <col min="13321" max="13321" width="14.6666666666667" style="190" customWidth="1"/>
    <col min="13322" max="13562" width="11.3333333333333" style="190"/>
    <col min="13563" max="13563" width="10.1111111111111" style="190" customWidth="1"/>
    <col min="13564" max="13564" width="25.3333333333333" style="190" customWidth="1"/>
    <col min="13565" max="13565" width="39.6666666666667" style="190" customWidth="1"/>
    <col min="13566" max="13566" width="107.111111111111" style="190" customWidth="1"/>
    <col min="13567" max="13567" width="11.4444444444444" style="190" customWidth="1"/>
    <col min="13568" max="13568" width="17" style="190" customWidth="1"/>
    <col min="13569" max="13569" width="16.3333333333333" style="190" customWidth="1"/>
    <col min="13570" max="13570" width="16.4444444444444" style="190" customWidth="1"/>
    <col min="13571" max="13571" width="29" style="190" customWidth="1"/>
    <col min="13572" max="13572" width="20.3333333333333" style="190" customWidth="1"/>
    <col min="13573" max="13573" width="16.4444444444444" style="190" customWidth="1"/>
    <col min="13574" max="13574" width="13.3333333333333" style="190" customWidth="1"/>
    <col min="13575" max="13575" width="26.7777777777778" style="190" customWidth="1"/>
    <col min="13576" max="13576" width="14.1111111111111" style="190" customWidth="1"/>
    <col min="13577" max="13577" width="14.6666666666667" style="190" customWidth="1"/>
    <col min="13578" max="13818" width="11.3333333333333" style="190"/>
    <col min="13819" max="13819" width="10.1111111111111" style="190" customWidth="1"/>
    <col min="13820" max="13820" width="25.3333333333333" style="190" customWidth="1"/>
    <col min="13821" max="13821" width="39.6666666666667" style="190" customWidth="1"/>
    <col min="13822" max="13822" width="107.111111111111" style="190" customWidth="1"/>
    <col min="13823" max="13823" width="11.4444444444444" style="190" customWidth="1"/>
    <col min="13824" max="13824" width="17" style="190" customWidth="1"/>
    <col min="13825" max="13825" width="16.3333333333333" style="190" customWidth="1"/>
    <col min="13826" max="13826" width="16.4444444444444" style="190" customWidth="1"/>
    <col min="13827" max="13827" width="29" style="190" customWidth="1"/>
    <col min="13828" max="13828" width="20.3333333333333" style="190" customWidth="1"/>
    <col min="13829" max="13829" width="16.4444444444444" style="190" customWidth="1"/>
    <col min="13830" max="13830" width="13.3333333333333" style="190" customWidth="1"/>
    <col min="13831" max="13831" width="26.7777777777778" style="190" customWidth="1"/>
    <col min="13832" max="13832" width="14.1111111111111" style="190" customWidth="1"/>
    <col min="13833" max="13833" width="14.6666666666667" style="190" customWidth="1"/>
    <col min="13834" max="14074" width="11.3333333333333" style="190"/>
    <col min="14075" max="14075" width="10.1111111111111" style="190" customWidth="1"/>
    <col min="14076" max="14076" width="25.3333333333333" style="190" customWidth="1"/>
    <col min="14077" max="14077" width="39.6666666666667" style="190" customWidth="1"/>
    <col min="14078" max="14078" width="107.111111111111" style="190" customWidth="1"/>
    <col min="14079" max="14079" width="11.4444444444444" style="190" customWidth="1"/>
    <col min="14080" max="14080" width="17" style="190" customWidth="1"/>
    <col min="14081" max="14081" width="16.3333333333333" style="190" customWidth="1"/>
    <col min="14082" max="14082" width="16.4444444444444" style="190" customWidth="1"/>
    <col min="14083" max="14083" width="29" style="190" customWidth="1"/>
    <col min="14084" max="14084" width="20.3333333333333" style="190" customWidth="1"/>
    <col min="14085" max="14085" width="16.4444444444444" style="190" customWidth="1"/>
    <col min="14086" max="14086" width="13.3333333333333" style="190" customWidth="1"/>
    <col min="14087" max="14087" width="26.7777777777778" style="190" customWidth="1"/>
    <col min="14088" max="14088" width="14.1111111111111" style="190" customWidth="1"/>
    <col min="14089" max="14089" width="14.6666666666667" style="190" customWidth="1"/>
    <col min="14090" max="14330" width="11.3333333333333" style="190"/>
    <col min="14331" max="14331" width="10.1111111111111" style="190" customWidth="1"/>
    <col min="14332" max="14332" width="25.3333333333333" style="190" customWidth="1"/>
    <col min="14333" max="14333" width="39.6666666666667" style="190" customWidth="1"/>
    <col min="14334" max="14334" width="107.111111111111" style="190" customWidth="1"/>
    <col min="14335" max="14335" width="11.4444444444444" style="190" customWidth="1"/>
    <col min="14336" max="14336" width="17" style="190" customWidth="1"/>
    <col min="14337" max="14337" width="16.3333333333333" style="190" customWidth="1"/>
    <col min="14338" max="14338" width="16.4444444444444" style="190" customWidth="1"/>
    <col min="14339" max="14339" width="29" style="190" customWidth="1"/>
    <col min="14340" max="14340" width="20.3333333333333" style="190" customWidth="1"/>
    <col min="14341" max="14341" width="16.4444444444444" style="190" customWidth="1"/>
    <col min="14342" max="14342" width="13.3333333333333" style="190" customWidth="1"/>
    <col min="14343" max="14343" width="26.7777777777778" style="190" customWidth="1"/>
    <col min="14344" max="14344" width="14.1111111111111" style="190" customWidth="1"/>
    <col min="14345" max="14345" width="14.6666666666667" style="190" customWidth="1"/>
    <col min="14346" max="14586" width="11.3333333333333" style="190"/>
    <col min="14587" max="14587" width="10.1111111111111" style="190" customWidth="1"/>
    <col min="14588" max="14588" width="25.3333333333333" style="190" customWidth="1"/>
    <col min="14589" max="14589" width="39.6666666666667" style="190" customWidth="1"/>
    <col min="14590" max="14590" width="107.111111111111" style="190" customWidth="1"/>
    <col min="14591" max="14591" width="11.4444444444444" style="190" customWidth="1"/>
    <col min="14592" max="14592" width="17" style="190" customWidth="1"/>
    <col min="14593" max="14593" width="16.3333333333333" style="190" customWidth="1"/>
    <col min="14594" max="14594" width="16.4444444444444" style="190" customWidth="1"/>
    <col min="14595" max="14595" width="29" style="190" customWidth="1"/>
    <col min="14596" max="14596" width="20.3333333333333" style="190" customWidth="1"/>
    <col min="14597" max="14597" width="16.4444444444444" style="190" customWidth="1"/>
    <col min="14598" max="14598" width="13.3333333333333" style="190" customWidth="1"/>
    <col min="14599" max="14599" width="26.7777777777778" style="190" customWidth="1"/>
    <col min="14600" max="14600" width="14.1111111111111" style="190" customWidth="1"/>
    <col min="14601" max="14601" width="14.6666666666667" style="190" customWidth="1"/>
    <col min="14602" max="14842" width="11.3333333333333" style="190"/>
    <col min="14843" max="14843" width="10.1111111111111" style="190" customWidth="1"/>
    <col min="14844" max="14844" width="25.3333333333333" style="190" customWidth="1"/>
    <col min="14845" max="14845" width="39.6666666666667" style="190" customWidth="1"/>
    <col min="14846" max="14846" width="107.111111111111" style="190" customWidth="1"/>
    <col min="14847" max="14847" width="11.4444444444444" style="190" customWidth="1"/>
    <col min="14848" max="14848" width="17" style="190" customWidth="1"/>
    <col min="14849" max="14849" width="16.3333333333333" style="190" customWidth="1"/>
    <col min="14850" max="14850" width="16.4444444444444" style="190" customWidth="1"/>
    <col min="14851" max="14851" width="29" style="190" customWidth="1"/>
    <col min="14852" max="14852" width="20.3333333333333" style="190" customWidth="1"/>
    <col min="14853" max="14853" width="16.4444444444444" style="190" customWidth="1"/>
    <col min="14854" max="14854" width="13.3333333333333" style="190" customWidth="1"/>
    <col min="14855" max="14855" width="26.7777777777778" style="190" customWidth="1"/>
    <col min="14856" max="14856" width="14.1111111111111" style="190" customWidth="1"/>
    <col min="14857" max="14857" width="14.6666666666667" style="190" customWidth="1"/>
    <col min="14858" max="15098" width="11.3333333333333" style="190"/>
    <col min="15099" max="15099" width="10.1111111111111" style="190" customWidth="1"/>
    <col min="15100" max="15100" width="25.3333333333333" style="190" customWidth="1"/>
    <col min="15101" max="15101" width="39.6666666666667" style="190" customWidth="1"/>
    <col min="15102" max="15102" width="107.111111111111" style="190" customWidth="1"/>
    <col min="15103" max="15103" width="11.4444444444444" style="190" customWidth="1"/>
    <col min="15104" max="15104" width="17" style="190" customWidth="1"/>
    <col min="15105" max="15105" width="16.3333333333333" style="190" customWidth="1"/>
    <col min="15106" max="15106" width="16.4444444444444" style="190" customWidth="1"/>
    <col min="15107" max="15107" width="29" style="190" customWidth="1"/>
    <col min="15108" max="15108" width="20.3333333333333" style="190" customWidth="1"/>
    <col min="15109" max="15109" width="16.4444444444444" style="190" customWidth="1"/>
    <col min="15110" max="15110" width="13.3333333333333" style="190" customWidth="1"/>
    <col min="15111" max="15111" width="26.7777777777778" style="190" customWidth="1"/>
    <col min="15112" max="15112" width="14.1111111111111" style="190" customWidth="1"/>
    <col min="15113" max="15113" width="14.6666666666667" style="190" customWidth="1"/>
    <col min="15114" max="15354" width="11.3333333333333" style="190"/>
    <col min="15355" max="15355" width="10.1111111111111" style="190" customWidth="1"/>
    <col min="15356" max="15356" width="25.3333333333333" style="190" customWidth="1"/>
    <col min="15357" max="15357" width="39.6666666666667" style="190" customWidth="1"/>
    <col min="15358" max="15358" width="107.111111111111" style="190" customWidth="1"/>
    <col min="15359" max="15359" width="11.4444444444444" style="190" customWidth="1"/>
    <col min="15360" max="15360" width="17" style="190" customWidth="1"/>
    <col min="15361" max="15361" width="16.3333333333333" style="190" customWidth="1"/>
    <col min="15362" max="15362" width="16.4444444444444" style="190" customWidth="1"/>
    <col min="15363" max="15363" width="29" style="190" customWidth="1"/>
    <col min="15364" max="15364" width="20.3333333333333" style="190" customWidth="1"/>
    <col min="15365" max="15365" width="16.4444444444444" style="190" customWidth="1"/>
    <col min="15366" max="15366" width="13.3333333333333" style="190" customWidth="1"/>
    <col min="15367" max="15367" width="26.7777777777778" style="190" customWidth="1"/>
    <col min="15368" max="15368" width="14.1111111111111" style="190" customWidth="1"/>
    <col min="15369" max="15369" width="14.6666666666667" style="190" customWidth="1"/>
    <col min="15370" max="15610" width="11.3333333333333" style="190"/>
    <col min="15611" max="15611" width="10.1111111111111" style="190" customWidth="1"/>
    <col min="15612" max="15612" width="25.3333333333333" style="190" customWidth="1"/>
    <col min="15613" max="15613" width="39.6666666666667" style="190" customWidth="1"/>
    <col min="15614" max="15614" width="107.111111111111" style="190" customWidth="1"/>
    <col min="15615" max="15615" width="11.4444444444444" style="190" customWidth="1"/>
    <col min="15616" max="15616" width="17" style="190" customWidth="1"/>
    <col min="15617" max="15617" width="16.3333333333333" style="190" customWidth="1"/>
    <col min="15618" max="15618" width="16.4444444444444" style="190" customWidth="1"/>
    <col min="15619" max="15619" width="29" style="190" customWidth="1"/>
    <col min="15620" max="15620" width="20.3333333333333" style="190" customWidth="1"/>
    <col min="15621" max="15621" width="16.4444444444444" style="190" customWidth="1"/>
    <col min="15622" max="15622" width="13.3333333333333" style="190" customWidth="1"/>
    <col min="15623" max="15623" width="26.7777777777778" style="190" customWidth="1"/>
    <col min="15624" max="15624" width="14.1111111111111" style="190" customWidth="1"/>
    <col min="15625" max="15625" width="14.6666666666667" style="190" customWidth="1"/>
    <col min="15626" max="15866" width="11.3333333333333" style="190"/>
    <col min="15867" max="15867" width="10.1111111111111" style="190" customWidth="1"/>
    <col min="15868" max="15868" width="25.3333333333333" style="190" customWidth="1"/>
    <col min="15869" max="15869" width="39.6666666666667" style="190" customWidth="1"/>
    <col min="15870" max="15870" width="107.111111111111" style="190" customWidth="1"/>
    <col min="15871" max="15871" width="11.4444444444444" style="190" customWidth="1"/>
    <col min="15872" max="15872" width="17" style="190" customWidth="1"/>
    <col min="15873" max="15873" width="16.3333333333333" style="190" customWidth="1"/>
    <col min="15874" max="15874" width="16.4444444444444" style="190" customWidth="1"/>
    <col min="15875" max="15875" width="29" style="190" customWidth="1"/>
    <col min="15876" max="15876" width="20.3333333333333" style="190" customWidth="1"/>
    <col min="15877" max="15877" width="16.4444444444444" style="190" customWidth="1"/>
    <col min="15878" max="15878" width="13.3333333333333" style="190" customWidth="1"/>
    <col min="15879" max="15879" width="26.7777777777778" style="190" customWidth="1"/>
    <col min="15880" max="15880" width="14.1111111111111" style="190" customWidth="1"/>
    <col min="15881" max="15881" width="14.6666666666667" style="190" customWidth="1"/>
    <col min="15882" max="16122" width="11.3333333333333" style="190"/>
    <col min="16123" max="16123" width="10.1111111111111" style="190" customWidth="1"/>
    <col min="16124" max="16124" width="25.3333333333333" style="190" customWidth="1"/>
    <col min="16125" max="16125" width="39.6666666666667" style="190" customWidth="1"/>
    <col min="16126" max="16126" width="107.111111111111" style="190" customWidth="1"/>
    <col min="16127" max="16127" width="11.4444444444444" style="190" customWidth="1"/>
    <col min="16128" max="16128" width="17" style="190" customWidth="1"/>
    <col min="16129" max="16129" width="16.3333333333333" style="190" customWidth="1"/>
    <col min="16130" max="16130" width="16.4444444444444" style="190" customWidth="1"/>
    <col min="16131" max="16131" width="29" style="190" customWidth="1"/>
    <col min="16132" max="16132" width="20.3333333333333" style="190" customWidth="1"/>
    <col min="16133" max="16133" width="16.4444444444444" style="190" customWidth="1"/>
    <col min="16134" max="16134" width="13.3333333333333" style="190" customWidth="1"/>
    <col min="16135" max="16135" width="26.7777777777778" style="190" customWidth="1"/>
    <col min="16136" max="16136" width="14.1111111111111" style="190" customWidth="1"/>
    <col min="16137" max="16137" width="14.6666666666667" style="190" customWidth="1"/>
    <col min="16138" max="16384" width="11.3333333333333" style="190"/>
  </cols>
  <sheetData>
    <row r="2" ht="108" customHeight="1" spans="2:11">
      <c r="B2" s="331" t="s">
        <v>0</v>
      </c>
      <c r="C2" s="332"/>
      <c r="D2" s="332"/>
      <c r="E2" s="332"/>
      <c r="F2" s="332"/>
      <c r="G2" s="332"/>
      <c r="H2" s="332"/>
      <c r="I2" s="332"/>
      <c r="J2" s="358"/>
      <c r="K2" s="359"/>
    </row>
    <row r="3" ht="22.05" customHeight="1" spans="2:11">
      <c r="B3" s="333" t="s">
        <v>1</v>
      </c>
      <c r="C3" s="196"/>
      <c r="D3" s="196"/>
      <c r="E3" s="196"/>
      <c r="F3" s="196"/>
      <c r="G3" s="196"/>
      <c r="H3" s="196"/>
      <c r="I3" s="196"/>
      <c r="J3" s="360"/>
      <c r="K3" s="359"/>
    </row>
    <row r="4" ht="43.05" customHeight="1" spans="2:11">
      <c r="B4" s="334" t="s">
        <v>30</v>
      </c>
      <c r="C4" s="335"/>
      <c r="D4" s="335"/>
      <c r="E4" s="335"/>
      <c r="F4" s="335"/>
      <c r="G4" s="335"/>
      <c r="H4" s="335"/>
      <c r="I4" s="335"/>
      <c r="J4" s="361"/>
      <c r="K4" s="359"/>
    </row>
    <row r="5" ht="46.95" customHeight="1" spans="2:11">
      <c r="B5" s="336" t="s">
        <v>31</v>
      </c>
      <c r="C5" s="337"/>
      <c r="D5" s="338" t="s">
        <v>4</v>
      </c>
      <c r="E5" s="339"/>
      <c r="F5" s="339"/>
      <c r="G5" s="340"/>
      <c r="H5" s="341" t="s">
        <v>32</v>
      </c>
      <c r="I5" s="362"/>
      <c r="J5" s="363"/>
      <c r="K5" s="364"/>
    </row>
    <row r="6" s="189" customFormat="1" ht="34.05" customHeight="1" spans="2:11">
      <c r="B6" s="336" t="s">
        <v>33</v>
      </c>
      <c r="C6" s="337"/>
      <c r="D6" s="338" t="s">
        <v>6</v>
      </c>
      <c r="E6" s="339"/>
      <c r="F6" s="339"/>
      <c r="G6" s="340"/>
      <c r="H6" s="200" t="s">
        <v>34</v>
      </c>
      <c r="I6" s="200" t="s">
        <v>35</v>
      </c>
      <c r="J6" s="365">
        <v>0.2882</v>
      </c>
      <c r="K6" s="366"/>
    </row>
    <row r="7" s="189" customFormat="1" ht="34.05" customHeight="1" spans="2:11">
      <c r="B7" s="336" t="s">
        <v>36</v>
      </c>
      <c r="C7" s="337"/>
      <c r="D7" s="338" t="s">
        <v>37</v>
      </c>
      <c r="E7" s="339"/>
      <c r="F7" s="339"/>
      <c r="G7" s="340"/>
      <c r="H7" s="200" t="s">
        <v>38</v>
      </c>
      <c r="I7" s="367">
        <v>44927</v>
      </c>
      <c r="J7" s="368"/>
      <c r="K7" s="369"/>
    </row>
    <row r="8" ht="34.95" customHeight="1" spans="2:11">
      <c r="B8" s="201" t="s">
        <v>9</v>
      </c>
      <c r="C8" s="202" t="s">
        <v>39</v>
      </c>
      <c r="D8" s="202" t="s">
        <v>10</v>
      </c>
      <c r="E8" s="201" t="s">
        <v>40</v>
      </c>
      <c r="F8" s="201" t="s">
        <v>41</v>
      </c>
      <c r="G8" s="201"/>
      <c r="H8" s="203" t="s">
        <v>42</v>
      </c>
      <c r="I8" s="203"/>
      <c r="J8" s="203"/>
      <c r="K8" s="359"/>
    </row>
    <row r="9" ht="33" customHeight="1" spans="2:11">
      <c r="B9" s="201"/>
      <c r="C9" s="202"/>
      <c r="D9" s="202"/>
      <c r="E9" s="201"/>
      <c r="F9" s="201" t="s">
        <v>12</v>
      </c>
      <c r="G9" s="201" t="s">
        <v>43</v>
      </c>
      <c r="H9" s="204" t="s">
        <v>44</v>
      </c>
      <c r="I9" s="204" t="s">
        <v>45</v>
      </c>
      <c r="J9" s="203" t="s">
        <v>46</v>
      </c>
      <c r="K9" s="359"/>
    </row>
    <row r="10" s="330" customFormat="1" ht="30" customHeight="1" spans="2:11">
      <c r="B10" s="342" t="str">
        <f>'Memória de Cálculo '!A11</f>
        <v>1.0</v>
      </c>
      <c r="C10" s="343"/>
      <c r="D10" s="343"/>
      <c r="E10" s="344" t="str">
        <f>'Memória de Cálculo '!B11</f>
        <v>ADMINISTRAÇÃO DE OBRA</v>
      </c>
      <c r="F10" s="345"/>
      <c r="G10" s="346"/>
      <c r="H10" s="347"/>
      <c r="I10" s="370"/>
      <c r="J10" s="371">
        <f>SUM(J11)</f>
        <v>11169.9</v>
      </c>
      <c r="K10" s="372"/>
    </row>
    <row r="11" ht="34.5" customHeight="1" spans="2:11">
      <c r="B11" s="205">
        <f>'[1]Memória Quantitativos'!B13</f>
        <v>1.1</v>
      </c>
      <c r="C11" s="212" t="str">
        <f>'Memória de Cálculo '!B12</f>
        <v>SINAPI -PE JAN/23</v>
      </c>
      <c r="D11" s="205">
        <f>'Memória de Cálculo '!C12</f>
        <v>90777</v>
      </c>
      <c r="E11" s="213" t="str">
        <f>'Memória de Cálculo '!D12</f>
        <v>ENGENHEIRO CIVIL DE OBRA JUNIOR COM ENCARGOS COMPLEMENTARES</v>
      </c>
      <c r="F11" s="212" t="str">
        <f>'Memória de Cálculo '!E12</f>
        <v>H</v>
      </c>
      <c r="G11" s="207">
        <f>'Memória de Cálculo '!P14</f>
        <v>90</v>
      </c>
      <c r="H11" s="208">
        <v>96.35</v>
      </c>
      <c r="I11" s="208">
        <f>TRUNC(H11+H11*$J$6,2)</f>
        <v>124.11</v>
      </c>
      <c r="J11" s="208">
        <f>TRUNC(G11*I11,2)</f>
        <v>11169.9</v>
      </c>
      <c r="K11" s="373"/>
    </row>
    <row r="12" ht="16.05" customHeight="1" spans="2:11">
      <c r="B12" s="205"/>
      <c r="C12" s="205"/>
      <c r="D12" s="205"/>
      <c r="E12" s="348"/>
      <c r="F12" s="205"/>
      <c r="G12" s="207"/>
      <c r="H12" s="208"/>
      <c r="I12" s="208"/>
      <c r="J12" s="208"/>
      <c r="K12" s="373"/>
    </row>
    <row r="13" s="330" customFormat="1" ht="25.5" customHeight="1" spans="2:11">
      <c r="B13" s="349" t="str">
        <f>'Memória de Cálculo '!A16</f>
        <v>2.0</v>
      </c>
      <c r="C13" s="350"/>
      <c r="D13" s="350"/>
      <c r="E13" s="351" t="str">
        <f>'Memória de Cálculo '!B16</f>
        <v>SERVIÇOS PRELIMINARES</v>
      </c>
      <c r="F13" s="352"/>
      <c r="G13" s="353"/>
      <c r="H13" s="354"/>
      <c r="I13" s="354"/>
      <c r="J13" s="370">
        <f>SUM(J14:J14)</f>
        <v>3199.86</v>
      </c>
      <c r="K13" s="372"/>
    </row>
    <row r="14" ht="34.5" customHeight="1" spans="2:11">
      <c r="B14" s="212" t="str">
        <f>'Memória de Cálculo '!A17</f>
        <v>2.1</v>
      </c>
      <c r="C14" s="212" t="str">
        <f>'Memória de Cálculo '!B17</f>
        <v>COMPOSIÇÃO</v>
      </c>
      <c r="D14" s="205">
        <f>'Memória de Cálculo '!C17</f>
        <v>12</v>
      </c>
      <c r="E14" s="213" t="str">
        <f>'Memória de Cálculo '!D17</f>
        <v>PLACA DE OBRA DE OBRA</v>
      </c>
      <c r="F14" s="212" t="str">
        <f>'Memória de Cálculo '!E17</f>
        <v>M²</v>
      </c>
      <c r="G14" s="207">
        <f>'Memória de Cálculo '!P19</f>
        <v>6</v>
      </c>
      <c r="H14" s="208">
        <f>COMPOSIÇÕES!G255</f>
        <v>414</v>
      </c>
      <c r="I14" s="208">
        <f t="shared" ref="I14" si="0">TRUNC(H14+H14*$J$6,2)</f>
        <v>533.31</v>
      </c>
      <c r="J14" s="208">
        <f t="shared" ref="J14" si="1">TRUNC(G14*I14,2)</f>
        <v>3199.86</v>
      </c>
      <c r="K14" s="373"/>
    </row>
    <row r="15" s="330" customFormat="1" ht="25.2" customHeight="1" spans="2:11">
      <c r="B15" s="349" t="str">
        <f>'Memória de Cálculo '!A20</f>
        <v>3.0</v>
      </c>
      <c r="C15" s="350"/>
      <c r="D15" s="350"/>
      <c r="E15" s="351" t="str">
        <f>'Memória de Cálculo '!B20</f>
        <v>REMOÇÃO E LIMPEZA</v>
      </c>
      <c r="F15" s="352"/>
      <c r="G15" s="353"/>
      <c r="H15" s="354"/>
      <c r="I15" s="354"/>
      <c r="J15" s="370">
        <f>SUM(J16:J27)</f>
        <v>33181.95</v>
      </c>
      <c r="K15" s="372"/>
    </row>
    <row r="16" ht="34.5" customHeight="1" spans="2:11">
      <c r="B16" s="212" t="str">
        <f>'Memória de Cálculo '!A22</f>
        <v>3.1</v>
      </c>
      <c r="C16" s="212" t="str">
        <f>'Memória de Cálculo '!B22</f>
        <v>SINAPI -PE JAN/23</v>
      </c>
      <c r="D16" s="205">
        <f>'Memória de Cálculo '!C22</f>
        <v>97662</v>
      </c>
      <c r="E16" s="213" t="str">
        <f>'Memória de Cálculo '!D22</f>
        <v>REMOÇÃO DE TUBULAÇÕES (TUBOS E CONEXÕES) DE ÁGUA FRIA, DE FORMA MANUAL, SEM REAPROVEITAMENTO. AF_12/2017</v>
      </c>
      <c r="F16" s="212" t="str">
        <f>'Memória de Cálculo '!E22</f>
        <v>M</v>
      </c>
      <c r="G16" s="207">
        <f>'Memória de Cálculo '!P30</f>
        <v>233.46</v>
      </c>
      <c r="H16" s="208">
        <v>0.4</v>
      </c>
      <c r="I16" s="208">
        <f>TRUNC(H16+H16*$J$6,2)</f>
        <v>0.51</v>
      </c>
      <c r="J16" s="208">
        <f>TRUNC(G16*I16,2)</f>
        <v>119.06</v>
      </c>
      <c r="K16" s="373"/>
    </row>
    <row r="17" ht="34.5" customHeight="1" spans="2:13">
      <c r="B17" s="212" t="str">
        <f>'Memória de Cálculo '!A32</f>
        <v>3.2</v>
      </c>
      <c r="C17" s="212" t="str">
        <f>'Memória de Cálculo '!B32</f>
        <v>COMPOSIÇÃO</v>
      </c>
      <c r="D17" s="205">
        <f>'Memória de Cálculo '!C32</f>
        <v>2</v>
      </c>
      <c r="E17" s="213" t="str">
        <f>'Memória de Cálculo '!D32</f>
        <v>DEMOLIÇÃO DE REBOCO ANTIGO</v>
      </c>
      <c r="F17" s="212" t="str">
        <f>'Memória de Cálculo '!E32</f>
        <v>M²</v>
      </c>
      <c r="G17" s="205">
        <f>'Memória de Cálculo '!P40</f>
        <v>516.03</v>
      </c>
      <c r="H17" s="216">
        <f>COMPOSIÇÕES!G40</f>
        <v>11.29</v>
      </c>
      <c r="I17" s="208">
        <f t="shared" ref="I17:I26" si="2">TRUNC(H17+H17*$J$6,2)</f>
        <v>14.54</v>
      </c>
      <c r="J17" s="208">
        <f t="shared" ref="J17:J26" si="3">TRUNC(G17*I17,2)</f>
        <v>7503.07</v>
      </c>
      <c r="K17" s="374">
        <f>J17+J18</f>
        <v>8301.5</v>
      </c>
      <c r="L17" s="240">
        <f>K17/J15</f>
        <v>0.25018119791031</v>
      </c>
      <c r="M17" s="241">
        <f>L17/2</f>
        <v>0.125090598955155</v>
      </c>
    </row>
    <row r="18" ht="34.5" customHeight="1" spans="2:11">
      <c r="B18" s="212" t="str">
        <f>'Memória de Cálculo '!A42</f>
        <v>3.3</v>
      </c>
      <c r="C18" s="212" t="str">
        <f>'Memória de Cálculo '!B42</f>
        <v>COMPOSIÇÃO</v>
      </c>
      <c r="D18" s="205">
        <f>'Memória de Cálculo '!C42</f>
        <v>15</v>
      </c>
      <c r="E18" s="213" t="str">
        <f>'Memória de Cálculo '!D42</f>
        <v>REMOÇÃO DE MASSA LATÉX</v>
      </c>
      <c r="F18" s="212" t="str">
        <f>'Memória de Cálculo '!E42</f>
        <v>M²</v>
      </c>
      <c r="G18" s="207">
        <f>'Memória de Cálculo '!P47</f>
        <v>219.35</v>
      </c>
      <c r="H18" s="208">
        <f>COMPOSIÇÕES!G314</f>
        <v>2.83</v>
      </c>
      <c r="I18" s="208">
        <f t="shared" si="2"/>
        <v>3.64</v>
      </c>
      <c r="J18" s="208">
        <f t="shared" si="3"/>
        <v>798.43</v>
      </c>
      <c r="K18" s="373"/>
    </row>
    <row r="19" ht="15.75" spans="2:11">
      <c r="B19" s="212" t="str">
        <f>'Memória de Cálculo '!A49</f>
        <v>3.4</v>
      </c>
      <c r="C19" s="212" t="str">
        <f>'Memória de Cálculo '!B49</f>
        <v>COMPOSIÇÃO</v>
      </c>
      <c r="D19" s="205">
        <f>'Memória de Cálculo '!C49</f>
        <v>3</v>
      </c>
      <c r="E19" s="206" t="str">
        <f>'Memória de Cálculo '!D49</f>
        <v>DEMOLIÇÃO MANUAL DE CONCRETO SIMPLES (ALGEROZES DO SETOR CENTRAL)</v>
      </c>
      <c r="F19" s="205" t="str">
        <f>'Memória de Cálculo '!E49</f>
        <v>M³</v>
      </c>
      <c r="G19" s="207">
        <f>'Memória de Cálculo '!P57</f>
        <v>2.79</v>
      </c>
      <c r="H19" s="208">
        <f>COMPOSIÇÕES!G54</f>
        <v>268.98</v>
      </c>
      <c r="I19" s="208">
        <f t="shared" si="2"/>
        <v>346.5</v>
      </c>
      <c r="J19" s="208">
        <f t="shared" si="3"/>
        <v>966.73</v>
      </c>
      <c r="K19" s="373"/>
    </row>
    <row r="20" ht="43.05" customHeight="1" spans="2:11">
      <c r="B20" s="212" t="str">
        <f>'Memória de Cálculo '!A59</f>
        <v>3.5</v>
      </c>
      <c r="C20" s="212" t="str">
        <f>'Memória de Cálculo '!B59</f>
        <v>SINAPI -PE JAN/23</v>
      </c>
      <c r="D20" s="205">
        <f>'Memória de Cálculo '!C59</f>
        <v>97644</v>
      </c>
      <c r="E20" s="213" t="str">
        <f>'Memória de Cálculo '!D59</f>
        <v>REMOÇÃO DE PORTAS, DE FORMA MANUAL, SEM REAPROVEITAMENTO. AF_12/2017</v>
      </c>
      <c r="F20" s="212" t="str">
        <f>'Memória de Cálculo '!E59</f>
        <v>M²</v>
      </c>
      <c r="G20" s="207">
        <f>'Memória de Cálculo '!P64</f>
        <v>4.2</v>
      </c>
      <c r="H20" s="208">
        <v>7.73</v>
      </c>
      <c r="I20" s="208">
        <f t="shared" si="2"/>
        <v>9.95</v>
      </c>
      <c r="J20" s="208">
        <f t="shared" si="3"/>
        <v>41.79</v>
      </c>
      <c r="K20" s="373"/>
    </row>
    <row r="21" ht="34.2" customHeight="1" spans="2:11">
      <c r="B21" s="212" t="str">
        <f>'Memória de Cálculo '!A66</f>
        <v>3.6</v>
      </c>
      <c r="C21" s="212" t="str">
        <f>'Memória de Cálculo '!B66</f>
        <v>SINAPI -PE JAN/23</v>
      </c>
      <c r="D21" s="205">
        <f>'Memória de Cálculo '!C66</f>
        <v>97649</v>
      </c>
      <c r="E21" s="213" t="str">
        <f>'Memória de Cálculo '!D66</f>
        <v>REMOÇÃO DE TELHAS DE FIBROCIMENTO, METÁLICA E CERÂMICA, DE FORMA MECANIZADA, COM USO DE GUINDASTE, SEM REAPROVEITAMENTO. AF_12/2017</v>
      </c>
      <c r="F21" s="212" t="str">
        <f>'Memória de Cálculo '!E66</f>
        <v>M²</v>
      </c>
      <c r="G21" s="207">
        <f>'Memória de Cálculo '!P72</f>
        <v>955.41</v>
      </c>
      <c r="H21" s="208">
        <v>3.71</v>
      </c>
      <c r="I21" s="208">
        <f t="shared" si="2"/>
        <v>4.77</v>
      </c>
      <c r="J21" s="208">
        <f t="shared" si="3"/>
        <v>4557.3</v>
      </c>
      <c r="K21" s="373"/>
    </row>
    <row r="22" ht="40" customHeight="1" spans="2:11">
      <c r="B22" s="205" t="str">
        <f>'Memória de Cálculo '!A74</f>
        <v>3.7</v>
      </c>
      <c r="C22" s="205" t="str">
        <f>'Memória de Cálculo '!B74</f>
        <v>COMPOSIÇÃO</v>
      </c>
      <c r="D22" s="205">
        <f>'Memória de Cálculo '!C74</f>
        <v>4</v>
      </c>
      <c r="E22" s="206" t="str">
        <f>'Memória de Cálculo '!D74</f>
        <v>REMOÇÃO DE TRAMA DE MADEIRA PARA COBERTURA, DE FORMA MANUAL, SEM REAPROVEITAMENTO. AF_12/2017</v>
      </c>
      <c r="F22" s="205" t="str">
        <f>'Memória de Cálculo '!E74</f>
        <v>M²</v>
      </c>
      <c r="G22" s="207">
        <f>'Memória de Cálculo '!P80</f>
        <v>955.41</v>
      </c>
      <c r="H22" s="208">
        <f>COMPOSIÇÕES!G72</f>
        <v>8.6</v>
      </c>
      <c r="I22" s="208">
        <f t="shared" si="2"/>
        <v>11.07</v>
      </c>
      <c r="J22" s="208">
        <f t="shared" si="3"/>
        <v>10576.38</v>
      </c>
      <c r="K22" s="373"/>
    </row>
    <row r="23" ht="39" customHeight="1" spans="2:11">
      <c r="B23" s="212" t="str">
        <f>'Memória de Cálculo '!A82</f>
        <v>3.8</v>
      </c>
      <c r="C23" s="212" t="str">
        <f>'Memória de Cálculo '!B82</f>
        <v>SINAPI -PE JAN/23</v>
      </c>
      <c r="D23" s="205">
        <f>'Memória de Cálculo '!C82</f>
        <v>97628</v>
      </c>
      <c r="E23" s="213" t="str">
        <f>'Memória de Cálculo '!D82</f>
        <v>DEMOLIÇÃO DE LAJES, DE FORMA MANUAL, SEM REAPROVEITAMENTO. AF_12/2017</v>
      </c>
      <c r="F23" s="212" t="str">
        <f>'Memória de Cálculo '!E82</f>
        <v>M3</v>
      </c>
      <c r="G23" s="220">
        <f>'Memória de Cálculo '!P88</f>
        <v>0.0033</v>
      </c>
      <c r="H23" s="208">
        <v>236.85</v>
      </c>
      <c r="I23" s="208">
        <f t="shared" ref="I23" si="4">TRUNC(H23+H23*$J$6,2)</f>
        <v>305.11</v>
      </c>
      <c r="J23" s="208">
        <f t="shared" ref="J23" si="5">TRUNC(G23*I23,2)</f>
        <v>1</v>
      </c>
      <c r="K23" s="373"/>
    </row>
    <row r="24" ht="34.2" customHeight="1" spans="2:11">
      <c r="B24" s="212" t="str">
        <f>'Memória de Cálculo '!A90</f>
        <v>3.9</v>
      </c>
      <c r="C24" s="212" t="str">
        <f>'Memória de Cálculo '!B90</f>
        <v>COMPOSIÇÃO</v>
      </c>
      <c r="D24" s="205">
        <f>'Memória de Cálculo '!C90</f>
        <v>1</v>
      </c>
      <c r="E24" s="213" t="str">
        <f>'Memória de Cálculo '!D90</f>
        <v>LIMPEZA DE CAIXA D'ÁGUA 15.000L</v>
      </c>
      <c r="F24" s="212" t="str">
        <f>'Memória de Cálculo '!E90</f>
        <v>M²</v>
      </c>
      <c r="G24" s="207">
        <f>'Memória de Cálculo '!P95</f>
        <v>50.5</v>
      </c>
      <c r="H24" s="208">
        <f>COMPOSIÇÕES!G21</f>
        <v>10.21</v>
      </c>
      <c r="I24" s="208">
        <f t="shared" si="2"/>
        <v>13.15</v>
      </c>
      <c r="J24" s="208">
        <f t="shared" si="3"/>
        <v>664.07</v>
      </c>
      <c r="K24" s="373"/>
    </row>
    <row r="25" ht="34.2" customHeight="1" spans="2:11">
      <c r="B25" s="212" t="str">
        <f>'Memória de Cálculo '!A97</f>
        <v>3.10</v>
      </c>
      <c r="C25" s="212" t="str">
        <f>'Memória de Cálculo '!B97</f>
        <v>SINAPI -PE JAN/23</v>
      </c>
      <c r="D25" s="205">
        <f>'Memória de Cálculo '!C97</f>
        <v>99814</v>
      </c>
      <c r="E25" s="213" t="str">
        <f>'Memória de Cálculo '!D97</f>
        <v>LIMPEZA DE SUPERFÍCIE COM JATO DE ALTA PRESSÃO. AF_04/2019</v>
      </c>
      <c r="F25" s="212" t="str">
        <f>'Memória de Cálculo '!E97</f>
        <v>M²</v>
      </c>
      <c r="G25" s="207">
        <v>1.64</v>
      </c>
      <c r="H25" s="208">
        <v>1.69</v>
      </c>
      <c r="I25" s="208">
        <f t="shared" si="2"/>
        <v>2.17</v>
      </c>
      <c r="J25" s="208">
        <f t="shared" si="3"/>
        <v>3.55</v>
      </c>
      <c r="K25" s="373"/>
    </row>
    <row r="26" ht="34.2" customHeight="1" spans="2:11">
      <c r="B26" s="205" t="str">
        <f>'Memória de Cálculo '!A108</f>
        <v>3.11</v>
      </c>
      <c r="C26" s="205" t="str">
        <f>'Memória de Cálculo '!B108</f>
        <v>SINAPI -PE JAN/23</v>
      </c>
      <c r="D26" s="205">
        <f>'Memória de Cálculo '!C108</f>
        <v>100983</v>
      </c>
      <c r="E26" s="206" t="str">
        <f>'Memória de Cálculo '!D108</f>
        <v>CARGA, MANOBRA E DESCARGA</v>
      </c>
      <c r="F26" s="205" t="str">
        <f>'Memória de Cálculo '!E108</f>
        <v>M³</v>
      </c>
      <c r="G26" s="207">
        <f>'Memória de Cálculo '!P163</f>
        <v>362.048088914756</v>
      </c>
      <c r="H26" s="208">
        <v>8.76</v>
      </c>
      <c r="I26" s="208">
        <f t="shared" si="2"/>
        <v>11.28</v>
      </c>
      <c r="J26" s="208">
        <f t="shared" si="3"/>
        <v>4083.9</v>
      </c>
      <c r="K26" s="373"/>
    </row>
    <row r="27" ht="47" customHeight="1" spans="2:11">
      <c r="B27" s="212" t="str">
        <f>'Memória de Cálculo '!A165</f>
        <v>3.12</v>
      </c>
      <c r="C27" s="212" t="str">
        <f>'Memória de Cálculo '!B165</f>
        <v>SINAPI -PE JAN/23</v>
      </c>
      <c r="D27" s="205">
        <f>'Memória de Cálculo '!C165</f>
        <v>95876</v>
      </c>
      <c r="E27" s="213" t="str">
        <f>'Memória de Cálculo '!D165</f>
        <v>TRANSPORTE COM CAMINHÃO BASCULANTE DE 14 M³, EM VIA URBANA PAVIMENTADA, DMT ATÉ 30 KM (UNIDADE: M3XKM). AF_07/2020</v>
      </c>
      <c r="F27" s="212" t="str">
        <f>'Memória de Cálculo '!E165</f>
        <v>M³xKM</v>
      </c>
      <c r="G27" s="207">
        <f>'Memória de Cálculo '!P220</f>
        <v>1448.19235565902</v>
      </c>
      <c r="H27" s="208">
        <v>2.08</v>
      </c>
      <c r="I27" s="208">
        <f t="shared" ref="I27" si="6">TRUNC(H27+H27*$J$6,2)</f>
        <v>2.67</v>
      </c>
      <c r="J27" s="208">
        <f t="shared" ref="J27" si="7">TRUNC(G27*I27,2)</f>
        <v>3866.67</v>
      </c>
      <c r="K27" s="373"/>
    </row>
    <row r="28" s="330" customFormat="1" ht="30" customHeight="1" spans="2:11">
      <c r="B28" s="349" t="str">
        <f>'Memória de Cálculo '!A222</f>
        <v>4.0</v>
      </c>
      <c r="C28" s="350"/>
      <c r="D28" s="350"/>
      <c r="E28" s="350" t="str">
        <f>'Memória de Cálculo '!B222</f>
        <v>COBERTA/TELHADO</v>
      </c>
      <c r="F28" s="345"/>
      <c r="G28" s="346"/>
      <c r="H28" s="347"/>
      <c r="I28" s="370"/>
      <c r="J28" s="370">
        <f>SUM(J29:J36)</f>
        <v>171117.46</v>
      </c>
      <c r="K28" s="372"/>
    </row>
    <row r="29" ht="53" customHeight="1" spans="2:11">
      <c r="B29" s="205" t="str">
        <f>'Memória de Cálculo '!A224</f>
        <v>4.1</v>
      </c>
      <c r="C29" s="205" t="str">
        <f>'Memória de Cálculo '!B224</f>
        <v>COMPOSIÇÃO</v>
      </c>
      <c r="D29" s="205">
        <f>'Memória de Cálculo '!C224</f>
        <v>7</v>
      </c>
      <c r="E29" s="206" t="str">
        <f>'Memória de Cálculo '!D224</f>
        <v>ALVENARIA DE TIJOLOS MACIÇOS PRENSADOS PARA PILARETES DE SUSTENTAÇÃO DO MADEIRAMENTO DA COBERTA, ASSENTADOS E REJUNTADOS COM ARGAMASSA DE CIMENTO E AREIA NO TRAÇO 1:6 - 1 VEZ.</v>
      </c>
      <c r="F29" s="205" t="str">
        <f>'Memória de Cálculo '!E224</f>
        <v>M³</v>
      </c>
      <c r="G29" s="207">
        <f>'Memória de Cálculo '!P232</f>
        <v>14.7</v>
      </c>
      <c r="H29" s="208">
        <f>COMPOSIÇÕES!G142</f>
        <v>738.1</v>
      </c>
      <c r="I29" s="208">
        <f t="shared" ref="I29:I42" si="8">TRUNC(H29+H29*$J$6,2)</f>
        <v>950.82</v>
      </c>
      <c r="J29" s="208">
        <f>TRUNC(G29*I29,2)</f>
        <v>13977.05</v>
      </c>
      <c r="K29" s="373"/>
    </row>
    <row r="30" ht="52" customHeight="1" spans="2:11">
      <c r="B30" s="205" t="str">
        <f>'Memória de Cálculo '!A234</f>
        <v>4.2</v>
      </c>
      <c r="C30" s="205" t="str">
        <f>'Memória de Cálculo '!B234</f>
        <v>SINAPI -PE JAN/23</v>
      </c>
      <c r="D30" s="205">
        <f>'Memória de Cálculo '!C234</f>
        <v>92543</v>
      </c>
      <c r="E30" s="206" t="str">
        <f>'Memória de Cálculo '!D234</f>
        <v>TRAMA DE MADEIRA COMPOSTA POR TERÇAS PARA TELHADOS DE ATÉ 2 ÁGUAS PARA TELHA ONDULADA DE FIBROCIMENTO, METÁLICA, PLÁSTICA OU TERMOACÚSTICA, INCLUSO TRANSPORTE VERTICAL. AF_07/2019</v>
      </c>
      <c r="F30" s="205" t="str">
        <f>'Memória de Cálculo '!E234</f>
        <v>M²</v>
      </c>
      <c r="G30" s="207">
        <f>'Memória de Cálculo '!P240</f>
        <v>956.85</v>
      </c>
      <c r="H30" s="208">
        <v>25.55</v>
      </c>
      <c r="I30" s="208">
        <f t="shared" si="8"/>
        <v>32.91</v>
      </c>
      <c r="J30" s="208">
        <f>TRUNC(G30*I30,2)</f>
        <v>31489.93</v>
      </c>
      <c r="K30" s="373"/>
    </row>
    <row r="31" ht="47.25" spans="2:11">
      <c r="B31" s="205" t="str">
        <f>'Memória de Cálculo '!A242</f>
        <v>4.3</v>
      </c>
      <c r="C31" s="205" t="str">
        <f>'Memória de Cálculo '!B242</f>
        <v>COTAÇÃO</v>
      </c>
      <c r="D31" s="205" t="str">
        <f>'Memória de Cálculo '!C242</f>
        <v>Painel de Preços</v>
      </c>
      <c r="E31" s="206" t="str">
        <f>'Memória de Cálculo '!D242</f>
        <v>CONFECÇÃO E APLICAÇÃO DE CLARABÓIA REMOVÍVEL EM POLICARBONATO COM ESTRUTURA METÁLICA (METALON) CONFORME DESENHO ESQUEMÁTICO DO RELATÓRIO.</v>
      </c>
      <c r="F31" s="205" t="str">
        <f>'Memória de Cálculo '!E242</f>
        <v>M²</v>
      </c>
      <c r="G31" s="207">
        <f>'Memória de Cálculo '!P246</f>
        <v>4.35</v>
      </c>
      <c r="H31" s="208">
        <v>156.5</v>
      </c>
      <c r="I31" s="208">
        <f t="shared" ref="I31" si="9">TRUNC(H31+H31*$J$6,2)</f>
        <v>201.6</v>
      </c>
      <c r="J31" s="208">
        <f>TRUNC(G31*I31,2)</f>
        <v>876.96</v>
      </c>
      <c r="K31" s="373"/>
    </row>
    <row r="32" ht="57" customHeight="1" spans="2:11">
      <c r="B32" s="205" t="str">
        <f>'Memória de Cálculo '!A248</f>
        <v>4.4</v>
      </c>
      <c r="C32" s="205" t="str">
        <f>'Memória de Cálculo '!B248</f>
        <v>COMPOSIÇÃO</v>
      </c>
      <c r="D32" s="205">
        <f>'Memória de Cálculo '!C248</f>
        <v>13</v>
      </c>
      <c r="E32" s="206" t="str">
        <f>'Memória de Cálculo '!D248</f>
        <v>TELHAMENTO COM TELHA ONDULADA DE FIBROCIMENTO E = 8 MM, COM RECOBRIMENTO LATERAL DE 1 1/4 DE ONDA PARA TELHADO COM INCLINAÇÃO MÁXIMA DE 10°, COM ATÉ 2 ÁGUAS, INCLUSO IÇAMENTO. AF_07/2019</v>
      </c>
      <c r="F32" s="205" t="str">
        <f>'Memória de Cálculo '!E248</f>
        <v>M²</v>
      </c>
      <c r="G32" s="207">
        <f>'Memória de Cálculo '!P254</f>
        <v>956.85</v>
      </c>
      <c r="H32" s="208">
        <f>COMPOSIÇÕES!G276</f>
        <v>73</v>
      </c>
      <c r="I32" s="208">
        <f t="shared" ref="I32:I36" si="10">TRUNC(H32+H32*$J$6,2)</f>
        <v>94.03</v>
      </c>
      <c r="J32" s="208">
        <f t="shared" ref="J32:J36" si="11">TRUNC(G32*I32,2)</f>
        <v>89972.6</v>
      </c>
      <c r="K32" s="373"/>
    </row>
    <row r="33" ht="37" customHeight="1" spans="2:11">
      <c r="B33" s="205" t="str">
        <f>'Memória de Cálculo '!A256</f>
        <v>4.5</v>
      </c>
      <c r="C33" s="205" t="str">
        <f>'Memória de Cálculo '!B256</f>
        <v>SINAPI -PE JAN/23</v>
      </c>
      <c r="D33" s="205">
        <f>'Memória de Cálculo '!C256</f>
        <v>94451</v>
      </c>
      <c r="E33" s="206" t="str">
        <f>'Memória de Cálculo '!D256</f>
        <v>CUMEEIRA PARA TELHA DE FIBROCIMENTO ESTRUTURAL E = 6 MM, INCLUSO ACESSÓRIOS DE FIXAÇÃO E IÇAMENTO. AF_07/2019</v>
      </c>
      <c r="F33" s="205" t="str">
        <f>'Memória de Cálculo '!E256</f>
        <v>M</v>
      </c>
      <c r="G33" s="207">
        <f>'Memória de Cálculo '!P263</f>
        <v>134.35</v>
      </c>
      <c r="H33" s="208">
        <v>102</v>
      </c>
      <c r="I33" s="208">
        <f t="shared" si="10"/>
        <v>131.39</v>
      </c>
      <c r="J33" s="208">
        <f t="shared" si="11"/>
        <v>17652.24</v>
      </c>
      <c r="K33" s="373"/>
    </row>
    <row r="34" ht="52" customHeight="1" spans="2:11">
      <c r="B34" s="205" t="str">
        <f>'Memória de Cálculo '!A265</f>
        <v>4.6</v>
      </c>
      <c r="C34" s="205" t="str">
        <f>'Memória de Cálculo '!B265</f>
        <v>COMPOSIÇÃO</v>
      </c>
      <c r="D34" s="205">
        <f>'Memória de Cálculo '!C265</f>
        <v>8</v>
      </c>
      <c r="E34" s="206" t="str">
        <f>'Memória de Cálculo '!D265</f>
        <v>CALHA DE TIJOLOS MACIÇOS PRENSADOS PARA CONFECÇÃO DE PAREDE DE CALHA, ASSENTADOS E REJUNTADOS COM ARGAMASSA DE CIMENTO E AREIA NO TRAÇO 1:2:8 - 1 VEZ, CHAPISCAOS E REBOCADOS</v>
      </c>
      <c r="F34" s="205" t="str">
        <f>'Memória de Cálculo '!E265</f>
        <v>M²</v>
      </c>
      <c r="G34" s="207">
        <f>'Memória de Cálculo '!P272</f>
        <v>29.74</v>
      </c>
      <c r="H34" s="208">
        <f>COMPOSIÇÕES!G177</f>
        <v>154.91</v>
      </c>
      <c r="I34" s="208">
        <f t="shared" si="10"/>
        <v>199.55</v>
      </c>
      <c r="J34" s="208">
        <f t="shared" si="11"/>
        <v>5934.61</v>
      </c>
      <c r="K34" s="373"/>
    </row>
    <row r="35" ht="39" customHeight="1" spans="2:11">
      <c r="B35" s="205" t="str">
        <f>'Memória de Cálculo '!A274</f>
        <v>4.7</v>
      </c>
      <c r="C35" s="205" t="str">
        <f>'Memória de Cálculo '!B274</f>
        <v>SINAPI -PE JAN/23</v>
      </c>
      <c r="D35" s="205">
        <f>'Memória de Cálculo '!C274</f>
        <v>95241</v>
      </c>
      <c r="E35" s="206" t="str">
        <f>'Memória de Cálculo '!D274</f>
        <v>LASTRO DE CONCRETO MAGRO, APLICADO EM PISOS, LAJES SOBRE SOLO OU RADIERS, ESPESSURA DE 5 CM. AF_07/2016</v>
      </c>
      <c r="F35" s="205" t="str">
        <f>'Memória de Cálculo '!E274</f>
        <v>M²</v>
      </c>
      <c r="G35" s="207">
        <f>'Memória de Cálculo '!P283</f>
        <v>21.46</v>
      </c>
      <c r="H35" s="208">
        <v>29.29</v>
      </c>
      <c r="I35" s="208">
        <f t="shared" si="10"/>
        <v>37.73</v>
      </c>
      <c r="J35" s="208">
        <f t="shared" si="11"/>
        <v>809.68</v>
      </c>
      <c r="K35" s="373"/>
    </row>
    <row r="36" ht="40" customHeight="1" spans="2:11">
      <c r="B36" s="205" t="str">
        <f>'Memória de Cálculo '!A285</f>
        <v>4.8</v>
      </c>
      <c r="C36" s="205" t="str">
        <f>'Memória de Cálculo '!B285</f>
        <v>SINAPI -PE JAN/23</v>
      </c>
      <c r="D36" s="205">
        <f>'Memória de Cálculo '!C285</f>
        <v>94231</v>
      </c>
      <c r="E36" s="206" t="str">
        <f>'Memória de Cálculo '!D285</f>
        <v>RUFO EM CHAPA DE AÇO GALVANIZADO NÚMERO 24, CORTE DE 25 CM, INCLUSO TRANSPORTE VERTICAL. AF_07/2019</v>
      </c>
      <c r="F36" s="205" t="str">
        <f>'Memória de Cálculo '!E285</f>
        <v>M</v>
      </c>
      <c r="G36" s="207">
        <f>'Memória de Cálculo '!P293</f>
        <v>159.04</v>
      </c>
      <c r="H36" s="208">
        <v>50.79</v>
      </c>
      <c r="I36" s="208">
        <f t="shared" si="10"/>
        <v>65.42</v>
      </c>
      <c r="J36" s="208">
        <f t="shared" si="11"/>
        <v>10404.39</v>
      </c>
      <c r="K36" s="373"/>
    </row>
    <row r="37" s="330" customFormat="1" ht="34.5" customHeight="1" spans="2:11">
      <c r="B37" s="349" t="str">
        <f>'Memória de Cálculo '!A295</f>
        <v>5.0</v>
      </c>
      <c r="C37" s="355"/>
      <c r="D37" s="355"/>
      <c r="E37" s="356" t="str">
        <f>'Memória de Cálculo '!B295</f>
        <v>IMPERMEABILIZAÇÃO</v>
      </c>
      <c r="F37" s="355"/>
      <c r="G37" s="355"/>
      <c r="H37" s="355"/>
      <c r="I37" s="355"/>
      <c r="J37" s="370">
        <f>SUM(J38:J39)</f>
        <v>10836.92</v>
      </c>
      <c r="K37" s="372"/>
    </row>
    <row r="38" ht="47" customHeight="1" spans="2:11">
      <c r="B38" s="212" t="str">
        <f>'Memória de Cálculo '!A297</f>
        <v>5.1</v>
      </c>
      <c r="C38" s="212" t="str">
        <f>'Memória de Cálculo '!B297</f>
        <v>SINAPI -PE JAN/23</v>
      </c>
      <c r="D38" s="205">
        <f>'Memória de Cálculo '!C297</f>
        <v>98556</v>
      </c>
      <c r="E38" s="213" t="str">
        <f>'Memória de Cálculo '!D297</f>
        <v>IMPERMEABILIZAÇÃO DE SUPERFÍCIE COM ARGAMASSA POLIMÉRICA / MEMBRANA ACRÍLICA, 4 DEMÃOS, REFORÇADA COM VÉU DE POLIÉSTER (MAV). AF_06/2018</v>
      </c>
      <c r="F38" s="212" t="str">
        <f>'Memória de Cálculo '!E297</f>
        <v>M²</v>
      </c>
      <c r="G38" s="207">
        <f>'Memória de Cálculo '!P306</f>
        <v>166.18</v>
      </c>
      <c r="H38" s="208">
        <v>50.55</v>
      </c>
      <c r="I38" s="208">
        <f t="shared" si="8"/>
        <v>65.11</v>
      </c>
      <c r="J38" s="208">
        <f>TRUNC(G38*I38,2)</f>
        <v>10819.97</v>
      </c>
      <c r="K38" s="373"/>
    </row>
    <row r="39" ht="47.25" spans="2:11">
      <c r="B39" s="212" t="str">
        <f>'Memória de Cálculo '!A308</f>
        <v>5.2</v>
      </c>
      <c r="C39" s="212" t="str">
        <f>'Memória de Cálculo '!B308</f>
        <v>COMPOSIÇÃO</v>
      </c>
      <c r="D39" s="205">
        <f>'Memória de Cálculo '!C308</f>
        <v>5</v>
      </c>
      <c r="E39" s="213" t="str">
        <f>'Memória de Cálculo '!D308</f>
        <v>CONCRETO ARMADO PRONTO, FGK 25 MPA, CONDIÇÃO B (NBR 12655), SUBSTITUINDO O CIMENTO POR GRAUTE, LANÇADO EM QUALQUER TIPO DE ESTRUTURA E ADENSADO, INCLUSIVE FORMA, ESCORAMENTO E FERRAGEM.</v>
      </c>
      <c r="F39" s="212" t="str">
        <f>'Memória de Cálculo '!E308</f>
        <v>M3</v>
      </c>
      <c r="G39" s="207">
        <f>'Memória de Cálculo '!P316</f>
        <v>0.0033</v>
      </c>
      <c r="H39" s="208">
        <f>COMPOSIÇÕES!G100</f>
        <v>3988.37</v>
      </c>
      <c r="I39" s="208">
        <f t="shared" ref="I39" si="12">TRUNC(H39+H39*$J$6,2)</f>
        <v>5137.81</v>
      </c>
      <c r="J39" s="208">
        <f>TRUNC(G39*I39,2)</f>
        <v>16.95</v>
      </c>
      <c r="K39" s="373"/>
    </row>
    <row r="40" s="330" customFormat="1" ht="34.5" customHeight="1" spans="2:11">
      <c r="B40" s="349" t="str">
        <f>'Memória de Cálculo '!A319</f>
        <v>6.0</v>
      </c>
      <c r="C40" s="350"/>
      <c r="D40" s="350"/>
      <c r="E40" s="351" t="str">
        <f>'Memória de Cálculo '!B319</f>
        <v>REVESTIMENTO</v>
      </c>
      <c r="F40" s="345"/>
      <c r="G40" s="346"/>
      <c r="H40" s="347"/>
      <c r="I40" s="347"/>
      <c r="J40" s="370">
        <f>SUM(J41:J42)</f>
        <v>36235.62</v>
      </c>
      <c r="K40" s="372"/>
    </row>
    <row r="41" ht="34.5" customHeight="1" spans="2:11">
      <c r="B41" s="205" t="str">
        <f>'Memória de Cálculo '!A321</f>
        <v>6.1</v>
      </c>
      <c r="C41" s="205" t="str">
        <f>'Memória de Cálculo '!B321</f>
        <v>SINAPI -PE JAN/23</v>
      </c>
      <c r="D41" s="205">
        <f>'Memória de Cálculo '!C321</f>
        <v>87879</v>
      </c>
      <c r="E41" s="206" t="str">
        <f>'Memória de Cálculo '!D321</f>
        <v>CHAPISCO APLICADO EM ALVENARIAS E ESTRUTURAS DE CONCRETO INTERNAS, COM COLHER DE PEDREIRO. ARGAMASSA TRAÇO 1:3 COM PREPARO EM BETONEIRA 400 L. AF_10/20228</v>
      </c>
      <c r="F41" s="205" t="str">
        <f>'Memória de Cálculo '!E321</f>
        <v>M²</v>
      </c>
      <c r="G41" s="207">
        <f>'Memória de Cálculo '!P329</f>
        <v>516.03</v>
      </c>
      <c r="H41" s="208">
        <v>3.97</v>
      </c>
      <c r="I41" s="208">
        <f t="shared" si="8"/>
        <v>5.11</v>
      </c>
      <c r="J41" s="208">
        <f t="shared" ref="J41:J42" si="13">TRUNC(G41*I41,2)</f>
        <v>2636.91</v>
      </c>
      <c r="K41" s="373"/>
    </row>
    <row r="42" ht="47.25" spans="2:11">
      <c r="B42" s="212" t="str">
        <f>'Memória de Cálculo '!A331</f>
        <v>6.2</v>
      </c>
      <c r="C42" s="212" t="str">
        <f>'Memória de Cálculo '!B331</f>
        <v>SINAPI -PE JAN/23</v>
      </c>
      <c r="D42" s="205">
        <f>'Memória de Cálculo '!C331</f>
        <v>90407</v>
      </c>
      <c r="E42" s="213" t="str">
        <f>'Memória de Cálculo '!D331</f>
        <v>MASSA ÚNICA, PARA RECEBIMENTO DE PINTURA, EM ARGAMASSA TRAÇO 1:2:8, PREPARO MANUAL, APLICADA MANUALMENTE EM TETO, ESPESSURA DE 20MM, COM EXECUÇÃO DE TALISCAS. AF_03/2015</v>
      </c>
      <c r="F42" s="212" t="str">
        <f>'Memória de Cálculo '!E331</f>
        <v>M²</v>
      </c>
      <c r="G42" s="207">
        <f>'Memória de Cálculo '!P339</f>
        <v>516.03</v>
      </c>
      <c r="H42" s="208">
        <v>50.55</v>
      </c>
      <c r="I42" s="208">
        <f t="shared" si="8"/>
        <v>65.11</v>
      </c>
      <c r="J42" s="208">
        <f t="shared" si="13"/>
        <v>33598.71</v>
      </c>
      <c r="K42" s="373"/>
    </row>
    <row r="43" ht="25" customHeight="1" spans="2:11">
      <c r="B43" s="349" t="str">
        <f>'Memória de Cálculo '!A341</f>
        <v>7.0</v>
      </c>
      <c r="C43" s="350"/>
      <c r="D43" s="350"/>
      <c r="E43" s="351" t="str">
        <f>'Memória de Cálculo '!B341</f>
        <v>ESQUADRIAS DE MADEIRA</v>
      </c>
      <c r="F43" s="345"/>
      <c r="G43" s="346"/>
      <c r="H43" s="347"/>
      <c r="I43" s="347"/>
      <c r="J43" s="370">
        <f>SUM(J44)</f>
        <v>3304.71</v>
      </c>
      <c r="K43" s="373"/>
    </row>
    <row r="44" ht="31.5" spans="2:11">
      <c r="B44" s="212" t="str">
        <f>'Memória de Cálculo '!A343</f>
        <v>7.1</v>
      </c>
      <c r="C44" s="212" t="str">
        <f>'Memória de Cálculo '!B343</f>
        <v>COMPOSIÇÃO</v>
      </c>
      <c r="D44" s="217">
        <f>'Memória de Cálculo '!C343</f>
        <v>6</v>
      </c>
      <c r="E44" s="213" t="str">
        <f>'Memória de Cálculo '!D343</f>
        <v>ESQUADRIA DE MADEIRA COM GRADE E FOLHA EM MADEIRA DE LEI PARA PORTAS EXTERNAS INCLUSIVE ASSENTAMENTO E FERRAGENS.</v>
      </c>
      <c r="F44" s="212" t="str">
        <f>'Memória de Cálculo '!E343</f>
        <v>UND</v>
      </c>
      <c r="G44" s="207">
        <f>'Memória de Cálculo '!P348</f>
        <v>3</v>
      </c>
      <c r="H44" s="208">
        <f>COMPOSIÇÕES!G124</f>
        <v>855.13</v>
      </c>
      <c r="I44" s="208">
        <f t="shared" ref="I43:I44" si="14">TRUNC(H44+H44*$J$6,2)</f>
        <v>1101.57</v>
      </c>
      <c r="J44" s="208">
        <f t="shared" ref="J43:J44" si="15">TRUNC(G44*I44,2)</f>
        <v>3304.71</v>
      </c>
      <c r="K44" s="373"/>
    </row>
    <row r="45" s="330" customFormat="1" ht="30" customHeight="1" spans="2:11">
      <c r="B45" s="349" t="str">
        <f>'Memória de Cálculo '!A349</f>
        <v>8.0</v>
      </c>
      <c r="C45" s="350"/>
      <c r="D45" s="350"/>
      <c r="E45" s="351" t="str">
        <f>'Memória de Cálculo '!B349</f>
        <v>PINTURA</v>
      </c>
      <c r="F45" s="345"/>
      <c r="G45" s="346"/>
      <c r="H45" s="347"/>
      <c r="I45" s="347"/>
      <c r="J45" s="370">
        <f>SUM(J46:J50)</f>
        <v>65959.23</v>
      </c>
      <c r="K45" s="372"/>
    </row>
    <row r="46" ht="30" customHeight="1" spans="2:11">
      <c r="B46" s="214" t="str">
        <f>'Memória de Cálculo '!A351</f>
        <v>8.1</v>
      </c>
      <c r="C46" s="212" t="str">
        <f>'Memória de Cálculo '!B351</f>
        <v>SINAPI -PE JAN/23</v>
      </c>
      <c r="D46" s="209">
        <f>'Memória de Cálculo '!C351</f>
        <v>88496</v>
      </c>
      <c r="E46" s="215" t="str">
        <f>'Memória de Cálculo '!D351</f>
        <v>APLICAÇÃO E LIXAMENTO DE MASSA LÁTEX EM TETO, DUAS DEMÃOS. AF_06/2014</v>
      </c>
      <c r="F46" s="214" t="str">
        <f>'Memória de Cálculo '!E351</f>
        <v>M²</v>
      </c>
      <c r="G46" s="210">
        <f>'Memória de Cálculo '!P359</f>
        <v>589.3</v>
      </c>
      <c r="H46" s="211">
        <v>24.36</v>
      </c>
      <c r="I46" s="208">
        <f t="shared" ref="I46" si="16">TRUNC(H46+H46*$J$6,2)</f>
        <v>31.38</v>
      </c>
      <c r="J46" s="208">
        <f t="shared" ref="J46" si="17">TRUNC(G46*I46,2)</f>
        <v>18492.23</v>
      </c>
      <c r="K46" s="373"/>
    </row>
    <row r="47" ht="37" customHeight="1" spans="2:11">
      <c r="B47" s="209" t="str">
        <f>'Memória de Cálculo '!A361</f>
        <v>8.2</v>
      </c>
      <c r="C47" s="209" t="str">
        <f>'Memória de Cálculo '!B361</f>
        <v>COMPOSIÇÃO</v>
      </c>
      <c r="D47" s="209">
        <f>'Memória de Cálculo '!C361</f>
        <v>9</v>
      </c>
      <c r="E47" s="14" t="str">
        <f>'Memória de Cálculo '!D361</f>
        <v>PINTURA A BASE DE EMULSAO ACRILICA, EM TETO, DUAS DEMAOS, INCLUSIVE LIQUIDO SELADOR UMA DEMAO, E DUAS DEMAOS DE MASSA ACRILICA.</v>
      </c>
      <c r="F47" s="209" t="str">
        <f>'Memória de Cálculo '!E361</f>
        <v>M²</v>
      </c>
      <c r="G47" s="210">
        <f>'Memória de Cálculo '!P369</f>
        <v>881.45</v>
      </c>
      <c r="H47" s="211">
        <f>COMPOSIÇÕES!G197</f>
        <v>37.92</v>
      </c>
      <c r="I47" s="208">
        <f t="shared" ref="I47" si="18">TRUNC(H47+H47*$J$6,2)</f>
        <v>48.84</v>
      </c>
      <c r="J47" s="208">
        <f t="shared" ref="J47" si="19">TRUNC(G47*I47,2)</f>
        <v>43050.01</v>
      </c>
      <c r="K47" s="373"/>
    </row>
    <row r="48" ht="40" customHeight="1" spans="2:11">
      <c r="B48" s="209" t="str">
        <f>'Memória de Cálculo '!A371</f>
        <v>8.3</v>
      </c>
      <c r="C48" s="212" t="str">
        <f>'Memória de Cálculo '!B371</f>
        <v>SINAPI -PE JAN/23</v>
      </c>
      <c r="D48" s="209">
        <f>'Memória de Cálculo '!C371</f>
        <v>88489</v>
      </c>
      <c r="E48" s="14" t="str">
        <f>'Memória de Cálculo '!D371</f>
        <v>APLICAÇÃO MANUAL DE PINTURA COM TINTA LÁTEX ACRÍLICA EM PAREDES, DUAS DEMÃOS. AF_06/2014</v>
      </c>
      <c r="F48" s="209" t="str">
        <f>'Memória de Cálculo '!E371</f>
        <v>M²</v>
      </c>
      <c r="G48" s="210">
        <f>'Memória de Cálculo '!P377</f>
        <v>129.14</v>
      </c>
      <c r="H48" s="211">
        <v>14.51</v>
      </c>
      <c r="I48" s="208">
        <f t="shared" ref="I48:I49" si="20">TRUNC(H48+H48*$J$6,2)</f>
        <v>18.69</v>
      </c>
      <c r="J48" s="208">
        <f t="shared" ref="J48:J49" si="21">TRUNC(G48*I48,2)</f>
        <v>2413.62</v>
      </c>
      <c r="K48" s="373"/>
    </row>
    <row r="49" ht="31.5" spans="2:11">
      <c r="B49" s="209" t="str">
        <f>'Memória de Cálculo '!A379</f>
        <v>8.4</v>
      </c>
      <c r="C49" s="209" t="str">
        <f>'Memória de Cálculo '!B379</f>
        <v>COMPOSIÇÃO</v>
      </c>
      <c r="D49" s="209">
        <f>'Memória de Cálculo '!C379</f>
        <v>10</v>
      </c>
      <c r="E49" s="14" t="str">
        <f>'Memória de Cálculo '!D379</f>
        <v>PINTURA COM ESMALTE SINTÉTICO EM ESQUADRIA DE MADEIRA, DUAS DEMÃOS, COM RASPAGEM E APARELHAMENTO COM ZARCÃO</v>
      </c>
      <c r="F49" s="209" t="str">
        <f>'Memória de Cálculo '!E379</f>
        <v>M²</v>
      </c>
      <c r="G49" s="210">
        <f>'Memória de Cálculo '!P384</f>
        <v>4.2</v>
      </c>
      <c r="H49" s="211">
        <f>COMPOSIÇÕES!G218</f>
        <v>50.3</v>
      </c>
      <c r="I49" s="208">
        <f t="shared" si="20"/>
        <v>64.79</v>
      </c>
      <c r="J49" s="208">
        <f t="shared" si="21"/>
        <v>272.11</v>
      </c>
      <c r="K49" s="373"/>
    </row>
    <row r="50" ht="47.25" spans="2:11">
      <c r="B50" s="214" t="str">
        <f>'Memória de Cálculo '!A386</f>
        <v>8.5</v>
      </c>
      <c r="C50" s="214" t="str">
        <f>'Memória de Cálculo '!B386</f>
        <v>COMPOSIÇÃO</v>
      </c>
      <c r="D50" s="209">
        <f>'Memória de Cálculo '!C386</f>
        <v>16</v>
      </c>
      <c r="E50" s="218" t="str">
        <f>'Memória de Cálculo '!D386</f>
        <v>PINTURA DE FUNDO (TIPO ZARÃO) PULVERIZADA SOBRE SUPERFÍCIES METÁLICAS COM ACABAMENTO EM PINTURA (TIPO ESMALTE SINTÉTICO) PULVERIZADA, DUAS DEMÃOS, INCLUSO LIXAMENTO.</v>
      </c>
      <c r="F50" s="214" t="str">
        <f>'Memória de Cálculo '!E386</f>
        <v>M²</v>
      </c>
      <c r="G50" s="210">
        <f>'Memória de Cálculo '!P391</f>
        <v>12.57</v>
      </c>
      <c r="H50" s="211">
        <f>COMPOSIÇÕES!G329</f>
        <v>106.92</v>
      </c>
      <c r="I50" s="208">
        <f t="shared" ref="I50" si="22">TRUNC(H50+H50*$J$6,2)</f>
        <v>137.73</v>
      </c>
      <c r="J50" s="208">
        <f t="shared" ref="J50" si="23">TRUNC(G50*I50,2)</f>
        <v>1731.26</v>
      </c>
      <c r="K50" s="373"/>
    </row>
    <row r="51" s="330" customFormat="1" ht="30" customHeight="1" spans="2:11">
      <c r="B51" s="349" t="str">
        <f>'Memória de Cálculo '!A395</f>
        <v>9.0</v>
      </c>
      <c r="C51" s="350"/>
      <c r="D51" s="350"/>
      <c r="E51" s="351" t="str">
        <f>'Memória de Cálculo '!B395</f>
        <v>INSTALAÇÕES PLUVIAIS</v>
      </c>
      <c r="F51" s="345"/>
      <c r="G51" s="346"/>
      <c r="H51" s="347"/>
      <c r="I51" s="347"/>
      <c r="J51" s="370">
        <f>SUM(J52:J53)</f>
        <v>2561.04</v>
      </c>
      <c r="K51" s="372"/>
    </row>
    <row r="52" ht="30" customHeight="1" spans="2:11">
      <c r="B52" s="209" t="str">
        <f>'Memória de Cálculo '!A397</f>
        <v>9.1</v>
      </c>
      <c r="C52" s="212" t="str">
        <f>'Memória de Cálculo '!B397</f>
        <v>SINAPI -PE JAN/23</v>
      </c>
      <c r="D52" s="209">
        <f>'Memória de Cálculo '!C397</f>
        <v>89578</v>
      </c>
      <c r="E52" s="14" t="str">
        <f>'Memória de Cálculo '!D397</f>
        <v>TUBO PVC, SÉRIE R, ÁGUA PLUVIAL, DN 100 MM, FORNECIDO E INSTALADO EM CONDUTORES VERTICAIS DE ÁGUAS PLUVIAIS. AF_06/20229</v>
      </c>
      <c r="F52" s="209" t="str">
        <f>'Memória de Cálculo '!E397</f>
        <v>M</v>
      </c>
      <c r="G52" s="210">
        <f>'Memória de Cálculo '!P401</f>
        <v>54</v>
      </c>
      <c r="H52" s="211">
        <v>32.03</v>
      </c>
      <c r="I52" s="208">
        <f t="shared" ref="I52" si="24">TRUNC(H52+H52*$J$6,2)</f>
        <v>41.26</v>
      </c>
      <c r="J52" s="208">
        <f t="shared" ref="J52" si="25">TRUNC(G52*I52,2)</f>
        <v>2228.04</v>
      </c>
      <c r="K52" s="373"/>
    </row>
    <row r="53" ht="30" customHeight="1" spans="2:11">
      <c r="B53" s="209" t="str">
        <f>'Memória de Cálculo '!A403</f>
        <v>9.2</v>
      </c>
      <c r="C53" s="212" t="str">
        <f>'Memória de Cálculo '!B403</f>
        <v>SINAPI -PE JAN/23</v>
      </c>
      <c r="D53" s="209">
        <f>'Memória de Cálculo '!C403</f>
        <v>89584</v>
      </c>
      <c r="E53" s="14" t="str">
        <f>'Memória de Cálculo '!D403</f>
        <v>JOELHO 90 GRAUS, PVC, SERIE R, ÁGUA PLUVIAL, DN 100 MM, JUNTA ELÁSTICA, FORNECIDO E INSTALADO EM CONDUTORES VERTICAIS DE ÁGUAS PLUVIAIS. AF_06/2022</v>
      </c>
      <c r="F53" s="209" t="str">
        <f>'Memória de Cálculo '!E403</f>
        <v>UND</v>
      </c>
      <c r="G53" s="210">
        <f>'Memória de Cálculo '!P407</f>
        <v>6</v>
      </c>
      <c r="H53" s="211">
        <v>43.09</v>
      </c>
      <c r="I53" s="208">
        <f t="shared" ref="I53" si="26">TRUNC(H53+H53*$J$6,2)</f>
        <v>55.5</v>
      </c>
      <c r="J53" s="208">
        <f t="shared" ref="J53" si="27">TRUNC(G53*I53,2)</f>
        <v>333</v>
      </c>
      <c r="K53" s="373"/>
    </row>
    <row r="54" s="330" customFormat="1" ht="30" customHeight="1" spans="2:11">
      <c r="B54" s="357">
        <f>'Memória de Cálculo '!A409</f>
        <v>10</v>
      </c>
      <c r="C54" s="350"/>
      <c r="D54" s="350"/>
      <c r="E54" s="351" t="str">
        <f>'Memória de Cálculo '!B409</f>
        <v>INSTALAÇÕES HIDRÁULICAS</v>
      </c>
      <c r="F54" s="345"/>
      <c r="G54" s="346"/>
      <c r="H54" s="347"/>
      <c r="I54" s="347"/>
      <c r="J54" s="370">
        <f>SUM(J55:J69)</f>
        <v>17492.27</v>
      </c>
      <c r="K54" s="372"/>
    </row>
    <row r="55" ht="30" customHeight="1" spans="2:11">
      <c r="B55" s="209" t="str">
        <f>'Memória de Cálculo '!A411</f>
        <v>10.1</v>
      </c>
      <c r="C55" s="212" t="str">
        <f>'Memória de Cálculo '!B411</f>
        <v>SINAPI -PE JAN/23</v>
      </c>
      <c r="D55" s="209">
        <f>'Memória de Cálculo '!C411</f>
        <v>89450</v>
      </c>
      <c r="E55" s="14" t="str">
        <f>'Memória de Cálculo '!D411</f>
        <v>TUBO, PVC, SOLDÁVEL, DN 60MM, INSTALADO EM PRUMADA DE ÁGUA - FORNECIMENTO E INSTALAÇÃO. AF_06/2022</v>
      </c>
      <c r="F55" s="209" t="str">
        <f>'Memória de Cálculo '!E411</f>
        <v>M</v>
      </c>
      <c r="G55" s="210">
        <f>'Memória de Cálculo '!P416</f>
        <v>23.1</v>
      </c>
      <c r="H55" s="210">
        <v>31.44</v>
      </c>
      <c r="I55" s="208">
        <f t="shared" ref="I55" si="28">TRUNC(H55+H55*$J$6,2)</f>
        <v>40.5</v>
      </c>
      <c r="J55" s="208">
        <f t="shared" ref="J55" si="29">TRUNC(G55*I55,2)</f>
        <v>935.55</v>
      </c>
      <c r="K55" s="374"/>
    </row>
    <row r="56" ht="30" customHeight="1" spans="2:11">
      <c r="B56" s="214" t="str">
        <f>'Memória de Cálculo '!A418</f>
        <v>10.2</v>
      </c>
      <c r="C56" s="212" t="str">
        <f>'Memória de Cálculo '!B418</f>
        <v>SINAPI -PE JAN/23</v>
      </c>
      <c r="D56" s="209">
        <f>'Memória de Cálculo '!C418</f>
        <v>89449</v>
      </c>
      <c r="E56" s="218" t="str">
        <f>'Memória de Cálculo '!D418</f>
        <v>TUBO, PVC, SOLDÁVEL, DN 50MM, INSTALADO EM PRUMADA DE ÁGUA - FORNECIMENTO E INSTALAÇÃO. AF_06/2022</v>
      </c>
      <c r="F56" s="214" t="str">
        <f>'Memória de Cálculo '!E418</f>
        <v>M</v>
      </c>
      <c r="G56" s="210">
        <f>'Memória de Cálculo '!P423</f>
        <v>118.5</v>
      </c>
      <c r="H56" s="210">
        <v>19.48</v>
      </c>
      <c r="I56" s="208">
        <f t="shared" ref="I56" si="30">TRUNC(H56+H56*$J$6,2)</f>
        <v>25.09</v>
      </c>
      <c r="J56" s="208">
        <f t="shared" ref="J56" si="31">TRUNC(G56*I56,2)</f>
        <v>2973.16</v>
      </c>
      <c r="K56" s="374"/>
    </row>
    <row r="57" ht="30" customHeight="1" spans="2:11">
      <c r="B57" s="214" t="str">
        <f>'Memória de Cálculo '!A426</f>
        <v>10.3</v>
      </c>
      <c r="C57" s="212" t="str">
        <f>'Memória de Cálculo '!B426</f>
        <v>SINAPI -PE JAN/23</v>
      </c>
      <c r="D57" s="209">
        <f>'Memória de Cálculo '!C426</f>
        <v>89597</v>
      </c>
      <c r="E57" s="218" t="str">
        <f>'Memória de Cálculo '!D426</f>
        <v>LUVA, PVC, SOLDÁVEL, DN 60MM, INSTALADO EM PRUMADA DE ÁGUA - FORNECIMENTO E INSTALAÇÃO. AF_06/2022</v>
      </c>
      <c r="F57" s="214" t="str">
        <f>'Memória de Cálculo '!E426</f>
        <v>UND</v>
      </c>
      <c r="G57" s="210">
        <f>'Memória de Cálculo '!P431</f>
        <v>4</v>
      </c>
      <c r="H57" s="210">
        <v>22.04</v>
      </c>
      <c r="I57" s="208">
        <f t="shared" ref="I57:I58" si="32">TRUNC(H57+H57*$J$6,2)</f>
        <v>28.39</v>
      </c>
      <c r="J57" s="208">
        <f t="shared" ref="J57:J58" si="33">TRUNC(G57*I57,2)</f>
        <v>113.56</v>
      </c>
      <c r="K57" s="374"/>
    </row>
    <row r="58" ht="30" customHeight="1" spans="2:11">
      <c r="B58" s="214" t="str">
        <f>'Memória de Cálculo '!A433</f>
        <v>10.4</v>
      </c>
      <c r="C58" s="212" t="str">
        <f>'Memória de Cálculo '!B433</f>
        <v>SINAPI -PE JAN/23</v>
      </c>
      <c r="D58" s="209">
        <f>'Memória de Cálculo '!C433</f>
        <v>89575</v>
      </c>
      <c r="E58" s="218" t="str">
        <f>'Memória de Cálculo '!D433</f>
        <v>LUVA, PVC, SOLDÁVEL, DN 50MM, INSTALADO EM PRUMADA DE ÁGUA - FORNECIMENTO E INSTALAÇÃO. AF_06/2022</v>
      </c>
      <c r="F58" s="214" t="str">
        <f>'Memória de Cálculo '!E433</f>
        <v>UND</v>
      </c>
      <c r="G58" s="210">
        <f>'Memória de Cálculo '!P438</f>
        <v>20</v>
      </c>
      <c r="H58" s="219">
        <v>10.6</v>
      </c>
      <c r="I58" s="208">
        <f t="shared" si="32"/>
        <v>13.65</v>
      </c>
      <c r="J58" s="208">
        <f t="shared" si="33"/>
        <v>273</v>
      </c>
      <c r="K58" s="374"/>
    </row>
    <row r="59" ht="30" customHeight="1" spans="2:11">
      <c r="B59" s="209" t="str">
        <f>'Memória de Cálculo '!A440</f>
        <v>10.5</v>
      </c>
      <c r="C59" s="212" t="str">
        <f>'Memória de Cálculo '!B440</f>
        <v>SINAPI -PE JAN/23</v>
      </c>
      <c r="D59" s="209">
        <f>'Memória de Cálculo '!C440</f>
        <v>89628</v>
      </c>
      <c r="E59" s="14" t="str">
        <f>'Memória de Cálculo '!D440</f>
        <v>TE, PVC, SOLDÁVEL, DN 60MM, INSTALADO EM PRUMADA DE ÁGUA - FORNECIMENTO E INSTALAÇÃO. AF_06/2022</v>
      </c>
      <c r="F59" s="209" t="str">
        <f>'Memória de Cálculo '!E440</f>
        <v>UND</v>
      </c>
      <c r="G59" s="210">
        <f>'Memória de Cálculo '!P445</f>
        <v>7</v>
      </c>
      <c r="H59" s="219">
        <v>47.3</v>
      </c>
      <c r="I59" s="208">
        <f t="shared" ref="I59:I69" si="34">TRUNC(H59+H59*$J$6,2)</f>
        <v>60.93</v>
      </c>
      <c r="J59" s="208">
        <f t="shared" ref="J59:J69" si="35">TRUNC(G59*I59,2)</f>
        <v>426.51</v>
      </c>
      <c r="K59" s="374"/>
    </row>
    <row r="60" ht="30" customHeight="1" spans="2:11">
      <c r="B60" s="214" t="str">
        <f>'Memória de Cálculo '!A447</f>
        <v>10.6</v>
      </c>
      <c r="C60" s="212" t="str">
        <f>'Memória de Cálculo '!B447</f>
        <v>SINAPI -PE JAN/23</v>
      </c>
      <c r="D60" s="209">
        <f>'Memória de Cálculo '!C447</f>
        <v>89625</v>
      </c>
      <c r="E60" s="218" t="str">
        <f>'Memória de Cálculo '!D447</f>
        <v>TE, PVC, SOLDÁVEL, DN 50MM, INSTALADO EM PRUMADA DE ÁGUA - FORNECIMENTO E INSTALAÇÃO. AF_06/2022</v>
      </c>
      <c r="F60" s="214" t="str">
        <f>'Memória de Cálculo '!E447</f>
        <v>UND</v>
      </c>
      <c r="G60" s="210">
        <f>'Memória de Cálculo '!P452</f>
        <v>1</v>
      </c>
      <c r="H60" s="219">
        <v>21.06</v>
      </c>
      <c r="I60" s="208">
        <f t="shared" si="34"/>
        <v>27.12</v>
      </c>
      <c r="J60" s="208">
        <f t="shared" si="35"/>
        <v>27.12</v>
      </c>
      <c r="K60" s="374"/>
    </row>
    <row r="61" ht="43" customHeight="1" spans="2:11">
      <c r="B61" s="209" t="str">
        <f>'Memória de Cálculo '!A454</f>
        <v>10.7</v>
      </c>
      <c r="C61" s="212" t="str">
        <f>'Memória de Cálculo '!B454</f>
        <v>SINAPI -PE JAN/23</v>
      </c>
      <c r="D61" s="209">
        <f>'Memória de Cálculo '!C454</f>
        <v>89505</v>
      </c>
      <c r="E61" s="14" t="str">
        <f>'Memória de Cálculo '!D454</f>
        <v>JOELHO 90 GRAUS, PVC, SOLDÁVEL, DN 60MM, INSTALADO EM PRUMADA DE ÁGUA - FORNECIMENTO E INSTALAÇÃO. AF_06/2022</v>
      </c>
      <c r="F61" s="209" t="str">
        <f>'Memória de Cálculo '!E454</f>
        <v>UND</v>
      </c>
      <c r="G61" s="210">
        <f>'Memória de Cálculo '!P459</f>
        <v>4</v>
      </c>
      <c r="H61" s="219">
        <v>41.51</v>
      </c>
      <c r="I61" s="208">
        <f t="shared" si="34"/>
        <v>53.47</v>
      </c>
      <c r="J61" s="208">
        <f t="shared" si="35"/>
        <v>213.88</v>
      </c>
      <c r="K61" s="374"/>
    </row>
    <row r="62" ht="37" customHeight="1" spans="2:11">
      <c r="B62" s="214" t="str">
        <f>'Memória de Cálculo '!A461</f>
        <v>10.8</v>
      </c>
      <c r="C62" s="212" t="str">
        <f>'Memória de Cálculo '!B461</f>
        <v>SINAPI -PE JAN/23</v>
      </c>
      <c r="D62" s="209">
        <f>'Memória de Cálculo '!C461</f>
        <v>103984</v>
      </c>
      <c r="E62" s="218" t="str">
        <f>'Memória de Cálculo '!D461</f>
        <v>JOELHO 90 GRAUS, PVC, SOLDÁVEL, DN 50MM, INSTALADO EM RAMAL DE DISTRIBUIÇÃO DE ÁGUA - FORNECIMENTO E INSTALAÇÃO. AF_06/2022</v>
      </c>
      <c r="F62" s="214" t="str">
        <f>'Memória de Cálculo '!E461</f>
        <v>UND</v>
      </c>
      <c r="G62" s="210">
        <f>'Memória de Cálculo '!P466</f>
        <v>2</v>
      </c>
      <c r="H62" s="219">
        <v>17.14</v>
      </c>
      <c r="I62" s="208">
        <f t="shared" si="34"/>
        <v>22.07</v>
      </c>
      <c r="J62" s="208">
        <f t="shared" si="35"/>
        <v>44.14</v>
      </c>
      <c r="K62" s="374"/>
    </row>
    <row r="63" ht="36" customHeight="1" spans="2:11">
      <c r="B63" s="214" t="str">
        <f>'Memória de Cálculo '!A468</f>
        <v>10.9</v>
      </c>
      <c r="C63" s="212" t="str">
        <f>'Memória de Cálculo '!B468</f>
        <v>SINAPI -PE JAN/23</v>
      </c>
      <c r="D63" s="209">
        <f>'Memória de Cálculo '!C468</f>
        <v>94707</v>
      </c>
      <c r="E63" s="218" t="str">
        <f>'Memória de Cálculo '!D468</f>
        <v>ADAPTADOR COM FLANGE E ANEL DE VEDAÇÃO, PVC, SOLDÁVEL, DN 60 MM X 2 , INSTALADO EM RESERVAÇÃO DE ÁGUA DE EDIFICAÇÃO QUE POSSUA RESERVATÓRIO DE FI BRA/FIBROCIMENTO   FORNECIMENTO E INSTALAÇÃO. AF_06/2016</v>
      </c>
      <c r="F63" s="214" t="str">
        <f>'Memória de Cálculo '!E468</f>
        <v>UND</v>
      </c>
      <c r="G63" s="210">
        <f>'Memória de Cálculo '!P473</f>
        <v>1</v>
      </c>
      <c r="H63" s="219">
        <v>65.34</v>
      </c>
      <c r="I63" s="208">
        <f t="shared" si="34"/>
        <v>84.17</v>
      </c>
      <c r="J63" s="208">
        <f t="shared" si="35"/>
        <v>84.17</v>
      </c>
      <c r="K63" s="374"/>
    </row>
    <row r="64" ht="76" customHeight="1" spans="2:11">
      <c r="B64" s="214" t="str">
        <f>'Memória de Cálculo '!A475</f>
        <v>10.10</v>
      </c>
      <c r="C64" s="212" t="str">
        <f>'Memória de Cálculo '!B475</f>
        <v>SINAPI -PE JAN/23</v>
      </c>
      <c r="D64" s="209">
        <f>'Memória de Cálculo '!C475</f>
        <v>94706</v>
      </c>
      <c r="E64" s="218" t="str">
        <f>'Memória de Cálculo '!D475</f>
        <v>ADAPTADOR COM FLANGE E ANEL DE VEDAÇÃO, PVC, SOLDÁVEL, DN 50 MM X 1 1/2 , INSTALADO EM RESERVAÇÃO DE ÁGUA DE EDIFICAÇÃO QUE POSSUA RESERVATÓRIO DE FIBRA/FIBROCIMENTO   FORNECIMENTO E INSTALAÇÃO. AF_06/2016</v>
      </c>
      <c r="F64" s="214" t="str">
        <f>'Memória de Cálculo '!E475</f>
        <v>UND</v>
      </c>
      <c r="G64" s="210">
        <f>'Memória de Cálculo '!P480</f>
        <v>1</v>
      </c>
      <c r="H64" s="219">
        <v>43.4</v>
      </c>
      <c r="I64" s="208">
        <f t="shared" si="34"/>
        <v>55.9</v>
      </c>
      <c r="J64" s="208">
        <f t="shared" si="35"/>
        <v>55.9</v>
      </c>
      <c r="K64" s="374"/>
    </row>
    <row r="65" ht="30" customHeight="1" spans="2:11">
      <c r="B65" s="209"/>
      <c r="C65" s="163"/>
      <c r="D65" s="163"/>
      <c r="E65" s="351" t="str">
        <f>'Memória de Cálculo '!B484</f>
        <v>TUBULAÇÕES E CONEXÕES DE AÇO GALVANIZADO</v>
      </c>
      <c r="F65" s="351"/>
      <c r="G65" s="351"/>
      <c r="H65" s="351"/>
      <c r="I65" s="351"/>
      <c r="J65" s="375"/>
      <c r="K65" s="376">
        <f>SUM(J66:J69)</f>
        <v>12345.28</v>
      </c>
    </row>
    <row r="66" ht="52" customHeight="1" spans="2:11">
      <c r="B66" s="209" t="str">
        <f>'Memória de Cálculo '!A486</f>
        <v>10.11</v>
      </c>
      <c r="C66" s="212" t="str">
        <f>'Memória de Cálculo '!B486</f>
        <v>SINAPI -PE JAN/23</v>
      </c>
      <c r="D66" s="209">
        <f>'Memória de Cálculo '!C486</f>
        <v>92337</v>
      </c>
      <c r="E66" s="14" t="str">
        <f>'Memória de Cálculo '!D486</f>
        <v>TUBO DE AÇO GALVANIZADO COM COSTURA, CLASSE MÉDIA, CONEXÃO RANHURADA, DN 80 (3"), INSTALADO EM PRUMADAS - FORNECIMENTO E INSTALAÇÃO. AF_10/2020</v>
      </c>
      <c r="F66" s="209" t="str">
        <f>'Memória de Cálculo '!E486</f>
        <v>M</v>
      </c>
      <c r="G66" s="210">
        <f>'Memória de Cálculo '!P491</f>
        <v>50</v>
      </c>
      <c r="H66" s="210">
        <v>139.73</v>
      </c>
      <c r="I66" s="208">
        <f t="shared" si="34"/>
        <v>180</v>
      </c>
      <c r="J66" s="208">
        <f t="shared" si="35"/>
        <v>9000</v>
      </c>
      <c r="K66" s="374"/>
    </row>
    <row r="67" ht="59" customHeight="1" spans="2:11">
      <c r="B67" s="214" t="str">
        <f>'Memória de Cálculo '!A493</f>
        <v>10.12</v>
      </c>
      <c r="C67" s="212" t="str">
        <f>'Memória de Cálculo '!B493</f>
        <v>SINAPI -PE JAN/23</v>
      </c>
      <c r="D67" s="209">
        <f>'Memória de Cálculo '!C493</f>
        <v>101929</v>
      </c>
      <c r="E67" s="218" t="str">
        <f>'Memória de Cálculo '!D493</f>
        <v>LUVA, EM FERRO GALVANIZADO, 4", CONEXÃO ROSQUEADA, INSTALADO EM REDE DE ALIMENTAÇÃO PARA HIDRANTE - FORNECIMENTO E INSTALAÇÃO. AF_10/2020</v>
      </c>
      <c r="F67" s="214" t="str">
        <f>'Memória de Cálculo '!E493</f>
        <v>UND</v>
      </c>
      <c r="G67" s="210">
        <f>'Memória de Cálculo '!P498</f>
        <v>9</v>
      </c>
      <c r="H67" s="210">
        <v>198.72</v>
      </c>
      <c r="I67" s="208">
        <f t="shared" si="34"/>
        <v>255.99</v>
      </c>
      <c r="J67" s="208">
        <f t="shared" si="35"/>
        <v>2303.91</v>
      </c>
      <c r="K67" s="374"/>
    </row>
    <row r="68" ht="46" customHeight="1" spans="2:11">
      <c r="B68" s="214" t="str">
        <f>'Memória de Cálculo '!A500</f>
        <v>10.13</v>
      </c>
      <c r="C68" s="212" t="str">
        <f>'Memória de Cálculo '!B500</f>
        <v>SINAPI -PE JAN/23</v>
      </c>
      <c r="D68" s="209">
        <f>'Memória de Cálculo '!C500</f>
        <v>97438</v>
      </c>
      <c r="E68" s="218" t="str">
        <f>'Memória de Cálculo '!D500</f>
        <v>CURVA 90 GRAUS, EM AÇO, CONEXÃO RANHURADA, DN 80 (3"), INSTALADO EM PRUMADAS - FORNECIMENTO E INSTALAÇÃO. AF_10/2020</v>
      </c>
      <c r="F68" s="214" t="str">
        <f>'Memória de Cálculo '!E500</f>
        <v>UND</v>
      </c>
      <c r="G68" s="210">
        <f>'Memória de Cálculo '!P505</f>
        <v>3</v>
      </c>
      <c r="H68" s="210">
        <v>136.26</v>
      </c>
      <c r="I68" s="208">
        <f t="shared" si="34"/>
        <v>175.53</v>
      </c>
      <c r="J68" s="208">
        <f t="shared" si="35"/>
        <v>526.59</v>
      </c>
      <c r="K68" s="374"/>
    </row>
    <row r="69" ht="46" customHeight="1" spans="2:11">
      <c r="B69" s="214" t="str">
        <f>'Memória de Cálculo '!A507</f>
        <v>10.14</v>
      </c>
      <c r="C69" s="212" t="str">
        <f>'Memória de Cálculo '!B507</f>
        <v>SINAPI -PE JAN/23</v>
      </c>
      <c r="D69" s="209">
        <f>'Memória de Cálculo '!C507</f>
        <v>97442</v>
      </c>
      <c r="E69" s="218" t="str">
        <f>'Memória de Cálculo '!D507</f>
        <v>TÊ, EM AÇO, CONEXÃO RANHURADA, DN 80 (3"), INSTALADO EM PRUMADAS - FORNECIMENTO E INSTALAÇÃO. AF_10/2020</v>
      </c>
      <c r="F69" s="214" t="str">
        <f>'Memória de Cálculo '!E507</f>
        <v>UND</v>
      </c>
      <c r="G69" s="210">
        <f>'Memória de Cálculo '!P511</f>
        <v>2</v>
      </c>
      <c r="H69" s="210">
        <v>199.81</v>
      </c>
      <c r="I69" s="208">
        <f t="shared" si="34"/>
        <v>257.39</v>
      </c>
      <c r="J69" s="208">
        <f t="shared" si="35"/>
        <v>514.78</v>
      </c>
      <c r="K69" s="374"/>
    </row>
    <row r="70" ht="30" customHeight="1" spans="2:11">
      <c r="B70" s="221"/>
      <c r="C70" s="222"/>
      <c r="D70" s="223"/>
      <c r="E70" s="224"/>
      <c r="F70" s="222"/>
      <c r="G70" s="225"/>
      <c r="H70" s="225"/>
      <c r="I70" s="243"/>
      <c r="J70" s="208"/>
      <c r="K70" s="374"/>
    </row>
    <row r="71" ht="34.05" customHeight="1" spans="2:11">
      <c r="B71" s="226" t="s">
        <v>27</v>
      </c>
      <c r="C71" s="227"/>
      <c r="D71" s="227"/>
      <c r="E71" s="227"/>
      <c r="F71" s="227"/>
      <c r="G71" s="228"/>
      <c r="H71" s="227"/>
      <c r="I71" s="245"/>
      <c r="J71" s="246">
        <f>J10+J13+J15+J28+J37+J40+J45+J51+J54+J43</f>
        <v>355058.96</v>
      </c>
      <c r="K71" s="377"/>
    </row>
    <row r="72" ht="36" customHeight="1" spans="2:10">
      <c r="B72" s="229" t="s">
        <v>28</v>
      </c>
      <c r="C72" s="229"/>
      <c r="D72" s="230" t="str">
        <f>'RESUMO '!C32</f>
        <v>Trezentos e cinquenta e cinco mil, cinquenta e oito reais e noventa e seis centavos.</v>
      </c>
      <c r="E72" s="230"/>
      <c r="F72" s="230"/>
      <c r="G72" s="230"/>
      <c r="H72" s="230"/>
      <c r="I72" s="230"/>
      <c r="J72" s="230"/>
    </row>
  </sheetData>
  <mergeCells count="20">
    <mergeCell ref="B2:J2"/>
    <mergeCell ref="B3:J3"/>
    <mergeCell ref="B4:J4"/>
    <mergeCell ref="B5:C5"/>
    <mergeCell ref="D5:G5"/>
    <mergeCell ref="H5:J5"/>
    <mergeCell ref="B6:C6"/>
    <mergeCell ref="D6:G6"/>
    <mergeCell ref="B7:C7"/>
    <mergeCell ref="D7:G7"/>
    <mergeCell ref="I7:J7"/>
    <mergeCell ref="F8:G8"/>
    <mergeCell ref="H8:J8"/>
    <mergeCell ref="B71:I71"/>
    <mergeCell ref="B72:C72"/>
    <mergeCell ref="D72:J72"/>
    <mergeCell ref="B8:B9"/>
    <mergeCell ref="C8:C9"/>
    <mergeCell ref="D8:D9"/>
    <mergeCell ref="E8:E9"/>
  </mergeCells>
  <printOptions horizontalCentered="1"/>
  <pageMargins left="0.251388888888889" right="0.251388888888889" top="0.751388888888889" bottom="0.751388888888889" header="0.298611111111111" footer="0.298611111111111"/>
  <pageSetup paperSize="9" scale="39" orientation="portrait" horizontalDpi="600"/>
  <headerFooter/>
  <colBreaks count="1" manualBreakCount="1">
    <brk id="10" max="1048575" man="1"/>
  </colBreaks>
  <ignoredErrors>
    <ignoredError sqref="J15:J6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ilha4"/>
  <dimension ref="A1:Q511"/>
  <sheetViews>
    <sheetView view="pageBreakPreview" zoomScale="82" zoomScaleNormal="80" topLeftCell="A5" workbookViewId="0">
      <selection activeCell="D14" sqref="D14"/>
    </sheetView>
  </sheetViews>
  <sheetFormatPr defaultColWidth="9.11111111111111" defaultRowHeight="12.75"/>
  <cols>
    <col min="1" max="1" width="11.7777777777778" style="253" customWidth="1"/>
    <col min="2" max="2" width="23.3777777777778" style="253" customWidth="1"/>
    <col min="3" max="3" width="23" style="253" customWidth="1"/>
    <col min="4" max="4" width="58" style="253" customWidth="1"/>
    <col min="5" max="5" width="10.4444444444444" style="253" customWidth="1"/>
    <col min="6" max="6" width="20.6666666666667" style="253" customWidth="1"/>
    <col min="7" max="7" width="3.66666666666667" style="253" customWidth="1"/>
    <col min="8" max="8" width="20.6666666666667" style="253" customWidth="1"/>
    <col min="9" max="9" width="3.66666666666667" style="253" customWidth="1"/>
    <col min="10" max="10" width="20.6666666666667" style="253" customWidth="1"/>
    <col min="11" max="11" width="3.66666666666667" style="253" customWidth="1"/>
    <col min="12" max="12" width="11.6666666666667" style="253" customWidth="1"/>
    <col min="13" max="13" width="3.66666666666667" style="253" customWidth="1"/>
    <col min="14" max="14" width="12.4444444444444" style="253" customWidth="1"/>
    <col min="15" max="15" width="3.66666666666667" style="253" customWidth="1"/>
    <col min="16" max="16" width="14.6666666666667" style="253" customWidth="1"/>
    <col min="17" max="16384" width="9.11111111111111" style="253"/>
  </cols>
  <sheetData>
    <row r="1" ht="31.2" customHeight="1" spans="1:16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92"/>
    </row>
    <row r="2" spans="1:16">
      <c r="A2" s="256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93"/>
    </row>
    <row r="3" ht="18.75" spans="1:16">
      <c r="A3" s="258" t="s">
        <v>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94"/>
    </row>
    <row r="4" ht="33" customHeight="1" spans="1:16">
      <c r="A4" s="260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95"/>
    </row>
    <row r="5" ht="18.75" spans="1:16">
      <c r="A5" s="262" t="s">
        <v>47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</row>
    <row r="6" ht="24" customHeight="1" spans="1:16">
      <c r="A6" s="263" t="s">
        <v>31</v>
      </c>
      <c r="B6" s="263"/>
      <c r="C6" s="264" t="str">
        <f>'RESUMO '!C4</f>
        <v>CONTRATAÇÃO DE EMPRESA DE ENGENHARIA PARA A EXECUÇÃO DAS OBRAS DE REFORMA DA COBERTA DO PRÉDIO DA PREFEITURA DO MUNICÍPIO DE CAMARAGIBE - PE.</v>
      </c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</row>
    <row r="7" ht="24" customHeight="1" spans="1:16">
      <c r="A7" s="263" t="s">
        <v>33</v>
      </c>
      <c r="B7" s="263"/>
      <c r="C7" s="264" t="str">
        <f>'RESUMO '!C5</f>
        <v>Avenida Belmino Correia - Camaragibe – PE</v>
      </c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</row>
    <row r="8" ht="39" customHeight="1" spans="1:16">
      <c r="A8" s="263" t="s">
        <v>36</v>
      </c>
      <c r="B8" s="263"/>
      <c r="C8" s="264" t="str">
        <f>'RESUMO '!C6</f>
        <v>Composições de Custo, Tabela SINAPI - PE JAN/2023 - Com Desoneração + (BDI 28,82%).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</row>
    <row r="9" s="251" customFormat="1" ht="31.5" spans="1:16">
      <c r="A9" s="265" t="s">
        <v>9</v>
      </c>
      <c r="B9" s="265" t="s">
        <v>48</v>
      </c>
      <c r="C9" s="266" t="s">
        <v>10</v>
      </c>
      <c r="D9" s="267" t="s">
        <v>49</v>
      </c>
      <c r="E9" s="267" t="s">
        <v>50</v>
      </c>
      <c r="F9" s="268" t="s">
        <v>51</v>
      </c>
      <c r="G9" s="268"/>
      <c r="H9" s="268" t="s">
        <v>52</v>
      </c>
      <c r="I9" s="268"/>
      <c r="J9" s="268" t="s">
        <v>53</v>
      </c>
      <c r="K9" s="268"/>
      <c r="L9" s="268" t="s">
        <v>54</v>
      </c>
      <c r="M9" s="268"/>
      <c r="N9" s="268" t="s">
        <v>13</v>
      </c>
      <c r="O9" s="268"/>
      <c r="P9" s="296" t="s">
        <v>27</v>
      </c>
    </row>
    <row r="10" ht="15.75" spans="1:16">
      <c r="A10" s="269"/>
      <c r="B10" s="269"/>
      <c r="C10" s="270"/>
      <c r="D10" s="271"/>
      <c r="E10" s="269"/>
      <c r="F10" s="272"/>
      <c r="G10" s="273"/>
      <c r="H10" s="273"/>
      <c r="I10" s="273"/>
      <c r="J10" s="273"/>
      <c r="K10" s="273"/>
      <c r="L10" s="273"/>
      <c r="M10" s="273"/>
      <c r="N10" s="273"/>
      <c r="O10" s="273"/>
      <c r="P10" s="297"/>
    </row>
    <row r="11" ht="15.75" spans="1:16">
      <c r="A11" s="274" t="s">
        <v>17</v>
      </c>
      <c r="B11" s="275" t="s">
        <v>55</v>
      </c>
      <c r="C11" s="276"/>
      <c r="D11" s="277"/>
      <c r="E11" s="275"/>
      <c r="F11" s="278"/>
      <c r="G11" s="278"/>
      <c r="H11" s="279"/>
      <c r="I11" s="278"/>
      <c r="J11" s="298"/>
      <c r="K11" s="278"/>
      <c r="L11" s="298"/>
      <c r="M11" s="278"/>
      <c r="N11" s="298"/>
      <c r="O11" s="278"/>
      <c r="P11" s="299"/>
    </row>
    <row r="12" ht="31.5" spans="1:16">
      <c r="A12" s="280" t="s">
        <v>56</v>
      </c>
      <c r="B12" s="280" t="s">
        <v>57</v>
      </c>
      <c r="C12" s="281">
        <v>90777</v>
      </c>
      <c r="D12" s="282" t="s">
        <v>58</v>
      </c>
      <c r="E12" s="280" t="s">
        <v>59</v>
      </c>
      <c r="F12" s="283"/>
      <c r="G12" s="283"/>
      <c r="H12" s="283"/>
      <c r="I12" s="283"/>
      <c r="J12" s="300"/>
      <c r="K12" s="283"/>
      <c r="L12" s="300"/>
      <c r="M12" s="283"/>
      <c r="N12" s="300"/>
      <c r="O12" s="283"/>
      <c r="P12" s="301"/>
    </row>
    <row r="13" ht="15.75" spans="1:16">
      <c r="A13" s="280"/>
      <c r="B13" s="280"/>
      <c r="C13" s="284"/>
      <c r="D13" s="285"/>
      <c r="E13" s="280"/>
      <c r="F13" s="283">
        <v>90</v>
      </c>
      <c r="G13" s="286" t="s">
        <v>60</v>
      </c>
      <c r="H13" s="286"/>
      <c r="I13" s="286" t="s">
        <v>60</v>
      </c>
      <c r="J13" s="286"/>
      <c r="K13" s="286" t="s">
        <v>60</v>
      </c>
      <c r="L13" s="286"/>
      <c r="M13" s="286" t="s">
        <v>60</v>
      </c>
      <c r="N13" s="286"/>
      <c r="O13" s="286" t="s">
        <v>61</v>
      </c>
      <c r="P13" s="302">
        <f>PRODUCT(F13:N13)</f>
        <v>90</v>
      </c>
    </row>
    <row r="14" ht="15.75" spans="1:16">
      <c r="A14" s="280"/>
      <c r="B14" s="280"/>
      <c r="C14" s="284"/>
      <c r="D14" s="285"/>
      <c r="E14" s="280"/>
      <c r="F14" s="283"/>
      <c r="G14" s="286"/>
      <c r="H14" s="286"/>
      <c r="I14" s="286"/>
      <c r="J14" s="286"/>
      <c r="K14" s="286"/>
      <c r="L14" s="286"/>
      <c r="M14" s="286"/>
      <c r="N14" s="300" t="s">
        <v>27</v>
      </c>
      <c r="O14" s="283" t="s">
        <v>61</v>
      </c>
      <c r="P14" s="301">
        <f>ROUND(SUM(P13:P13),2)</f>
        <v>90</v>
      </c>
    </row>
    <row r="15" ht="15.75" spans="1:16">
      <c r="A15" s="280"/>
      <c r="B15" s="280"/>
      <c r="C15" s="284"/>
      <c r="D15" s="285"/>
      <c r="E15" s="280"/>
      <c r="F15" s="283"/>
      <c r="G15" s="286"/>
      <c r="H15" s="286"/>
      <c r="I15" s="286"/>
      <c r="J15" s="286"/>
      <c r="K15" s="286"/>
      <c r="L15" s="286"/>
      <c r="M15" s="286"/>
      <c r="N15" s="286"/>
      <c r="O15" s="286"/>
      <c r="P15" s="302"/>
    </row>
    <row r="16" s="252" customFormat="1" ht="15.75" spans="1:16">
      <c r="A16" s="274" t="s">
        <v>18</v>
      </c>
      <c r="B16" s="275" t="s">
        <v>62</v>
      </c>
      <c r="C16" s="274"/>
      <c r="D16" s="275"/>
      <c r="E16" s="274"/>
      <c r="F16" s="275"/>
      <c r="G16" s="274"/>
      <c r="H16" s="275"/>
      <c r="I16" s="274"/>
      <c r="J16" s="275"/>
      <c r="K16" s="274"/>
      <c r="L16" s="275"/>
      <c r="M16" s="274"/>
      <c r="N16" s="275"/>
      <c r="O16" s="274"/>
      <c r="P16" s="275"/>
    </row>
    <row r="17" ht="15.75" spans="1:16">
      <c r="A17" s="280" t="s">
        <v>63</v>
      </c>
      <c r="B17" s="280" t="s">
        <v>64</v>
      </c>
      <c r="C17" s="281">
        <v>12</v>
      </c>
      <c r="D17" s="282" t="s">
        <v>65</v>
      </c>
      <c r="E17" s="280" t="s">
        <v>66</v>
      </c>
      <c r="F17" s="283"/>
      <c r="G17" s="283"/>
      <c r="H17" s="283"/>
      <c r="I17" s="283"/>
      <c r="J17" s="300"/>
      <c r="K17" s="283"/>
      <c r="L17" s="300"/>
      <c r="M17" s="283"/>
      <c r="N17" s="300"/>
      <c r="O17" s="283"/>
      <c r="P17" s="301"/>
    </row>
    <row r="18" ht="15.75" spans="1:16">
      <c r="A18" s="280"/>
      <c r="B18" s="280"/>
      <c r="C18" s="284"/>
      <c r="D18" s="285"/>
      <c r="E18" s="280"/>
      <c r="F18" s="283">
        <v>3</v>
      </c>
      <c r="G18" s="286" t="s">
        <v>60</v>
      </c>
      <c r="H18" s="286">
        <v>2</v>
      </c>
      <c r="I18" s="286" t="s">
        <v>60</v>
      </c>
      <c r="J18" s="286"/>
      <c r="K18" s="286" t="s">
        <v>60</v>
      </c>
      <c r="L18" s="286"/>
      <c r="M18" s="286" t="s">
        <v>60</v>
      </c>
      <c r="N18" s="286"/>
      <c r="O18" s="286" t="s">
        <v>61</v>
      </c>
      <c r="P18" s="302">
        <f>PRODUCT(F18:N18)</f>
        <v>6</v>
      </c>
    </row>
    <row r="19" ht="15.75" spans="1:16">
      <c r="A19" s="280"/>
      <c r="B19" s="280"/>
      <c r="C19" s="284"/>
      <c r="D19" s="285"/>
      <c r="E19" s="280"/>
      <c r="F19" s="283"/>
      <c r="G19" s="286"/>
      <c r="H19" s="286"/>
      <c r="I19" s="286"/>
      <c r="J19" s="286"/>
      <c r="K19" s="286"/>
      <c r="L19" s="286"/>
      <c r="M19" s="286"/>
      <c r="N19" s="300" t="s">
        <v>27</v>
      </c>
      <c r="O19" s="283" t="s">
        <v>61</v>
      </c>
      <c r="P19" s="301">
        <f>ROUND(SUM(P18:P18),2)</f>
        <v>6</v>
      </c>
    </row>
    <row r="20" s="252" customFormat="1" ht="15.75" spans="1:16">
      <c r="A20" s="274" t="s">
        <v>19</v>
      </c>
      <c r="B20" s="275" t="s">
        <v>67</v>
      </c>
      <c r="C20" s="287"/>
      <c r="D20" s="275"/>
      <c r="E20" s="274"/>
      <c r="F20" s="275"/>
      <c r="G20" s="274"/>
      <c r="H20" s="275"/>
      <c r="I20" s="274"/>
      <c r="J20" s="275"/>
      <c r="K20" s="274"/>
      <c r="L20" s="275"/>
      <c r="M20" s="274"/>
      <c r="N20" s="275"/>
      <c r="O20" s="274"/>
      <c r="P20" s="275"/>
    </row>
    <row r="21" ht="15.75" spans="1:16">
      <c r="A21" s="280"/>
      <c r="B21" s="280"/>
      <c r="C21" s="284"/>
      <c r="D21" s="285"/>
      <c r="E21" s="280"/>
      <c r="F21" s="283"/>
      <c r="G21" s="286"/>
      <c r="H21" s="286"/>
      <c r="I21" s="286"/>
      <c r="J21" s="286"/>
      <c r="K21" s="286"/>
      <c r="L21" s="286"/>
      <c r="M21" s="286"/>
      <c r="N21" s="300"/>
      <c r="O21" s="283"/>
      <c r="P21" s="301"/>
    </row>
    <row r="22" ht="63" spans="1:16">
      <c r="A22" s="280" t="s">
        <v>68</v>
      </c>
      <c r="B22" s="280" t="s">
        <v>57</v>
      </c>
      <c r="C22" s="281">
        <v>97662</v>
      </c>
      <c r="D22" s="282" t="s">
        <v>69</v>
      </c>
      <c r="E22" s="280" t="s">
        <v>70</v>
      </c>
      <c r="F22" s="283"/>
      <c r="G22" s="283"/>
      <c r="H22" s="283"/>
      <c r="I22" s="283"/>
      <c r="J22" s="300"/>
      <c r="K22" s="283"/>
      <c r="L22" s="300"/>
      <c r="M22" s="283"/>
      <c r="N22" s="300"/>
      <c r="O22" s="283"/>
      <c r="P22" s="301"/>
    </row>
    <row r="23" ht="15.75" spans="1:16">
      <c r="A23" s="280"/>
      <c r="B23" s="280"/>
      <c r="C23" s="281"/>
      <c r="D23" s="282"/>
      <c r="E23" s="280"/>
      <c r="F23" s="283"/>
      <c r="G23" s="283"/>
      <c r="H23" s="283"/>
      <c r="I23" s="283"/>
      <c r="J23" s="300"/>
      <c r="K23" s="283"/>
      <c r="L23" s="300"/>
      <c r="M23" s="283"/>
      <c r="N23" s="300"/>
      <c r="O23" s="283"/>
      <c r="P23" s="301"/>
    </row>
    <row r="24" ht="15.75" spans="1:16">
      <c r="A24" s="280"/>
      <c r="B24" s="280"/>
      <c r="C24" s="284"/>
      <c r="D24" s="288" t="s">
        <v>71</v>
      </c>
      <c r="E24" s="280"/>
      <c r="F24" s="283"/>
      <c r="G24" s="286"/>
      <c r="H24" s="286"/>
      <c r="I24" s="286"/>
      <c r="J24" s="286"/>
      <c r="K24" s="286"/>
      <c r="L24" s="286"/>
      <c r="M24" s="286"/>
      <c r="N24" s="286"/>
      <c r="O24" s="286"/>
      <c r="P24" s="302"/>
    </row>
    <row r="25" ht="15.75" spans="1:16">
      <c r="A25" s="280"/>
      <c r="B25" s="280"/>
      <c r="C25" s="284"/>
      <c r="D25" s="288" t="s">
        <v>72</v>
      </c>
      <c r="E25" s="280"/>
      <c r="F25" s="283">
        <v>38.28</v>
      </c>
      <c r="G25" s="286" t="s">
        <v>60</v>
      </c>
      <c r="H25" s="286">
        <v>3</v>
      </c>
      <c r="I25" s="286" t="s">
        <v>60</v>
      </c>
      <c r="J25" s="303"/>
      <c r="K25" s="286" t="s">
        <v>60</v>
      </c>
      <c r="L25" s="286"/>
      <c r="M25" s="286" t="s">
        <v>60</v>
      </c>
      <c r="N25" s="286"/>
      <c r="O25" s="286" t="s">
        <v>61</v>
      </c>
      <c r="P25" s="302">
        <f>PRODUCT(F25:N25)</f>
        <v>114.84</v>
      </c>
    </row>
    <row r="26" ht="15.75" spans="1:16">
      <c r="A26" s="280"/>
      <c r="B26" s="280"/>
      <c r="C26" s="284"/>
      <c r="D26" s="288" t="s">
        <v>73</v>
      </c>
      <c r="E26" s="280"/>
      <c r="F26" s="283">
        <v>37.72</v>
      </c>
      <c r="G26" s="286" t="s">
        <v>60</v>
      </c>
      <c r="H26" s="286">
        <v>2</v>
      </c>
      <c r="I26" s="286" t="s">
        <v>60</v>
      </c>
      <c r="J26" s="303"/>
      <c r="K26" s="286" t="s">
        <v>60</v>
      </c>
      <c r="L26" s="286"/>
      <c r="M26" s="286" t="s">
        <v>60</v>
      </c>
      <c r="N26" s="286"/>
      <c r="O26" s="286" t="s">
        <v>61</v>
      </c>
      <c r="P26" s="302">
        <f t="shared" ref="P26:P28" si="0">PRODUCT(F26:N26)</f>
        <v>75.44</v>
      </c>
    </row>
    <row r="27" ht="15.75" spans="1:16">
      <c r="A27" s="280"/>
      <c r="B27" s="280"/>
      <c r="C27" s="284"/>
      <c r="D27" s="288" t="s">
        <v>74</v>
      </c>
      <c r="E27" s="280"/>
      <c r="F27" s="283">
        <v>21.31</v>
      </c>
      <c r="G27" s="286" t="s">
        <v>60</v>
      </c>
      <c r="H27" s="286"/>
      <c r="I27" s="286" t="s">
        <v>60</v>
      </c>
      <c r="J27" s="303"/>
      <c r="K27" s="286" t="s">
        <v>60</v>
      </c>
      <c r="L27" s="286"/>
      <c r="M27" s="286" t="s">
        <v>60</v>
      </c>
      <c r="N27" s="286"/>
      <c r="O27" s="286" t="s">
        <v>61</v>
      </c>
      <c r="P27" s="302">
        <f t="shared" si="0"/>
        <v>21.31</v>
      </c>
    </row>
    <row r="28" ht="15.75" spans="1:16">
      <c r="A28" s="280"/>
      <c r="B28" s="280"/>
      <c r="C28" s="284"/>
      <c r="D28" s="288" t="s">
        <v>75</v>
      </c>
      <c r="E28" s="280"/>
      <c r="F28" s="283">
        <v>21.87</v>
      </c>
      <c r="G28" s="286" t="s">
        <v>60</v>
      </c>
      <c r="H28" s="286"/>
      <c r="I28" s="286" t="s">
        <v>60</v>
      </c>
      <c r="J28" s="303"/>
      <c r="K28" s="286" t="s">
        <v>60</v>
      </c>
      <c r="L28" s="286"/>
      <c r="M28" s="286" t="s">
        <v>60</v>
      </c>
      <c r="N28" s="286"/>
      <c r="O28" s="286" t="s">
        <v>61</v>
      </c>
      <c r="P28" s="302">
        <f t="shared" si="0"/>
        <v>21.87</v>
      </c>
    </row>
    <row r="29" ht="15.75" spans="1:16">
      <c r="A29" s="280"/>
      <c r="B29" s="280"/>
      <c r="C29" s="284"/>
      <c r="D29" s="288"/>
      <c r="E29" s="280"/>
      <c r="F29" s="283"/>
      <c r="G29" s="286"/>
      <c r="H29" s="286"/>
      <c r="I29" s="286"/>
      <c r="J29" s="286"/>
      <c r="K29" s="286"/>
      <c r="L29" s="286"/>
      <c r="M29" s="286"/>
      <c r="N29" s="286"/>
      <c r="O29" s="286"/>
      <c r="P29" s="302"/>
    </row>
    <row r="30" ht="15.75" spans="1:16">
      <c r="A30" s="280"/>
      <c r="B30" s="280"/>
      <c r="C30" s="284"/>
      <c r="D30" s="285"/>
      <c r="E30" s="280"/>
      <c r="F30" s="283"/>
      <c r="G30" s="286"/>
      <c r="H30" s="286"/>
      <c r="I30" s="286"/>
      <c r="J30" s="286"/>
      <c r="K30" s="286"/>
      <c r="L30" s="286"/>
      <c r="M30" s="286"/>
      <c r="N30" s="300" t="s">
        <v>27</v>
      </c>
      <c r="O30" s="283" t="s">
        <v>61</v>
      </c>
      <c r="P30" s="301">
        <f>ROUND(SUM(P24:P28),2)</f>
        <v>233.46</v>
      </c>
    </row>
    <row r="31" ht="15.75" spans="1:16">
      <c r="A31" s="269"/>
      <c r="B31" s="269"/>
      <c r="C31" s="289"/>
      <c r="D31" s="271"/>
      <c r="E31" s="269"/>
      <c r="F31" s="283"/>
      <c r="G31" s="286"/>
      <c r="H31" s="286"/>
      <c r="I31" s="286"/>
      <c r="J31" s="286"/>
      <c r="K31" s="286"/>
      <c r="L31" s="286"/>
      <c r="M31" s="286"/>
      <c r="N31" s="300"/>
      <c r="O31" s="283"/>
      <c r="P31" s="301"/>
    </row>
    <row r="32" ht="15.75" spans="1:16">
      <c r="A32" s="280" t="s">
        <v>76</v>
      </c>
      <c r="B32" s="280" t="s">
        <v>64</v>
      </c>
      <c r="C32" s="281">
        <v>2</v>
      </c>
      <c r="D32" s="282" t="str">
        <f>COMPOSIÇÕES!A24</f>
        <v>DEMOLIÇÃO DE REBOCO ANTIGO</v>
      </c>
      <c r="E32" s="280" t="s">
        <v>66</v>
      </c>
      <c r="F32" s="283"/>
      <c r="G32" s="283"/>
      <c r="H32" s="283"/>
      <c r="I32" s="283"/>
      <c r="J32" s="300"/>
      <c r="K32" s="283"/>
      <c r="L32" s="300"/>
      <c r="M32" s="283"/>
      <c r="N32" s="300"/>
      <c r="O32" s="283"/>
      <c r="P32" s="301"/>
    </row>
    <row r="33" ht="15.75" spans="1:16">
      <c r="A33" s="280"/>
      <c r="B33" s="280"/>
      <c r="C33" s="281"/>
      <c r="D33" s="282"/>
      <c r="E33" s="280"/>
      <c r="F33" s="283"/>
      <c r="G33" s="283"/>
      <c r="H33" s="283"/>
      <c r="I33" s="283"/>
      <c r="J33" s="300"/>
      <c r="K33" s="283"/>
      <c r="L33" s="300"/>
      <c r="M33" s="283"/>
      <c r="N33" s="300"/>
      <c r="O33" s="283"/>
      <c r="P33" s="301"/>
    </row>
    <row r="34" ht="15.75" spans="1:17">
      <c r="A34" s="280"/>
      <c r="B34" s="280"/>
      <c r="C34" s="281"/>
      <c r="D34" s="288" t="s">
        <v>77</v>
      </c>
      <c r="E34" s="288"/>
      <c r="F34" s="283">
        <f>263.15+16.39+49.36+4.76+4.41+12.28+12.23+2.61</f>
        <v>365.19</v>
      </c>
      <c r="G34" s="285" t="s">
        <v>60</v>
      </c>
      <c r="H34" s="285"/>
      <c r="I34" s="285" t="s">
        <v>60</v>
      </c>
      <c r="J34" s="285"/>
      <c r="K34" s="285" t="s">
        <v>60</v>
      </c>
      <c r="L34" s="285"/>
      <c r="M34" s="285" t="s">
        <v>60</v>
      </c>
      <c r="N34" s="304">
        <v>0.2</v>
      </c>
      <c r="O34" s="288" t="s">
        <v>61</v>
      </c>
      <c r="P34" s="302">
        <f>PRODUCT(F34:N34)</f>
        <v>73.038</v>
      </c>
      <c r="Q34" s="307"/>
    </row>
    <row r="35" ht="15.75" spans="1:16">
      <c r="A35" s="280"/>
      <c r="B35" s="280"/>
      <c r="C35" s="284"/>
      <c r="D35" s="288" t="s">
        <v>78</v>
      </c>
      <c r="E35" s="280"/>
      <c r="F35" s="283">
        <v>94.65</v>
      </c>
      <c r="G35" s="286" t="s">
        <v>60</v>
      </c>
      <c r="H35" s="286"/>
      <c r="I35" s="286" t="s">
        <v>60</v>
      </c>
      <c r="J35" s="286"/>
      <c r="K35" s="286" t="s">
        <v>60</v>
      </c>
      <c r="L35" s="286"/>
      <c r="M35" s="286" t="s">
        <v>60</v>
      </c>
      <c r="N35" s="304">
        <v>1</v>
      </c>
      <c r="O35" s="286" t="s">
        <v>61</v>
      </c>
      <c r="P35" s="302">
        <f>PRODUCT(F35:N35)</f>
        <v>94.65</v>
      </c>
    </row>
    <row r="36" ht="15.75" spans="1:17">
      <c r="A36" s="280"/>
      <c r="B36" s="280"/>
      <c r="C36" s="284"/>
      <c r="D36" s="288" t="s">
        <v>79</v>
      </c>
      <c r="E36" s="280"/>
      <c r="F36" s="283">
        <v>36.18</v>
      </c>
      <c r="G36" s="286" t="s">
        <v>60</v>
      </c>
      <c r="H36" s="286"/>
      <c r="I36" s="286" t="s">
        <v>60</v>
      </c>
      <c r="J36" s="286"/>
      <c r="K36" s="286" t="s">
        <v>60</v>
      </c>
      <c r="L36" s="286"/>
      <c r="M36" s="286" t="s">
        <v>60</v>
      </c>
      <c r="N36" s="304">
        <v>1</v>
      </c>
      <c r="O36" s="286" t="s">
        <v>61</v>
      </c>
      <c r="P36" s="302">
        <f>PRODUCT(F36:N36)</f>
        <v>36.18</v>
      </c>
      <c r="Q36" s="308"/>
    </row>
    <row r="37" ht="15.75" spans="1:16">
      <c r="A37" s="280"/>
      <c r="B37" s="280"/>
      <c r="C37" s="284"/>
      <c r="D37" s="288" t="s">
        <v>80</v>
      </c>
      <c r="E37" s="280"/>
      <c r="F37" s="283">
        <v>19.07</v>
      </c>
      <c r="G37" s="286" t="s">
        <v>60</v>
      </c>
      <c r="H37" s="286"/>
      <c r="I37" s="286" t="s">
        <v>60</v>
      </c>
      <c r="J37" s="286"/>
      <c r="K37" s="286" t="s">
        <v>60</v>
      </c>
      <c r="L37" s="286"/>
      <c r="M37" s="286" t="s">
        <v>60</v>
      </c>
      <c r="N37" s="304">
        <v>1</v>
      </c>
      <c r="O37" s="286" t="s">
        <v>61</v>
      </c>
      <c r="P37" s="302">
        <f>PRODUCT(F37:N37)</f>
        <v>19.07</v>
      </c>
    </row>
    <row r="38" ht="15.75" spans="1:17">
      <c r="A38" s="280"/>
      <c r="B38" s="280"/>
      <c r="C38" s="284"/>
      <c r="D38" s="288" t="s">
        <v>81</v>
      </c>
      <c r="E38" s="280"/>
      <c r="F38" s="283">
        <f>151.04+210.96+1.75+2.61</f>
        <v>366.36</v>
      </c>
      <c r="G38" s="286" t="s">
        <v>60</v>
      </c>
      <c r="H38" s="286"/>
      <c r="I38" s="286" t="s">
        <v>60</v>
      </c>
      <c r="J38" s="286"/>
      <c r="K38" s="286" t="s">
        <v>60</v>
      </c>
      <c r="L38" s="286"/>
      <c r="M38" s="286" t="s">
        <v>60</v>
      </c>
      <c r="N38" s="304">
        <v>0.8</v>
      </c>
      <c r="O38" s="286" t="s">
        <v>61</v>
      </c>
      <c r="P38" s="302">
        <f>PRODUCT(F38:N38)</f>
        <v>293.088</v>
      </c>
      <c r="Q38" s="307"/>
    </row>
    <row r="39" ht="15.75" spans="1:16">
      <c r="A39" s="280"/>
      <c r="B39" s="280"/>
      <c r="C39" s="284"/>
      <c r="D39" s="288"/>
      <c r="E39" s="280"/>
      <c r="F39" s="283"/>
      <c r="G39" s="286"/>
      <c r="H39" s="286"/>
      <c r="I39" s="286"/>
      <c r="J39" s="286"/>
      <c r="K39" s="286"/>
      <c r="L39" s="286"/>
      <c r="M39" s="286"/>
      <c r="N39" s="286"/>
      <c r="O39" s="286"/>
      <c r="P39" s="302"/>
    </row>
    <row r="40" ht="15.75" spans="1:16">
      <c r="A40" s="280"/>
      <c r="B40" s="280"/>
      <c r="C40" s="284"/>
      <c r="D40" s="285"/>
      <c r="E40" s="280"/>
      <c r="F40" s="283"/>
      <c r="G40" s="286"/>
      <c r="H40" s="286"/>
      <c r="I40" s="286"/>
      <c r="J40" s="286"/>
      <c r="K40" s="286"/>
      <c r="L40" s="286"/>
      <c r="M40" s="286"/>
      <c r="N40" s="300" t="s">
        <v>27</v>
      </c>
      <c r="O40" s="283" t="s">
        <v>61</v>
      </c>
      <c r="P40" s="301">
        <f>ROUND(SUM(P34:P38),2)</f>
        <v>516.03</v>
      </c>
    </row>
    <row r="41" ht="15.75" spans="1:16">
      <c r="A41" s="280"/>
      <c r="B41" s="280"/>
      <c r="C41" s="284"/>
      <c r="D41" s="285"/>
      <c r="E41" s="280"/>
      <c r="F41" s="283"/>
      <c r="G41" s="286"/>
      <c r="H41" s="286"/>
      <c r="I41" s="286"/>
      <c r="J41" s="286"/>
      <c r="K41" s="286"/>
      <c r="L41" s="286"/>
      <c r="M41" s="286"/>
      <c r="N41" s="300"/>
      <c r="O41" s="283"/>
      <c r="P41" s="301"/>
    </row>
    <row r="42" ht="15.75" spans="1:16">
      <c r="A42" s="280" t="s">
        <v>82</v>
      </c>
      <c r="B42" s="280" t="s">
        <v>64</v>
      </c>
      <c r="C42" s="281">
        <v>15</v>
      </c>
      <c r="D42" s="282" t="str">
        <f>COMPOSIÇÕES!A300</f>
        <v>REMOÇÃO DE MASSA LATÉX</v>
      </c>
      <c r="E42" s="280" t="s">
        <v>66</v>
      </c>
      <c r="F42" s="283"/>
      <c r="G42" s="283"/>
      <c r="H42" s="283"/>
      <c r="I42" s="283"/>
      <c r="J42" s="300"/>
      <c r="K42" s="283"/>
      <c r="L42" s="300"/>
      <c r="M42" s="283"/>
      <c r="N42" s="300"/>
      <c r="O42" s="283"/>
      <c r="P42" s="301"/>
    </row>
    <row r="43" ht="15.75" spans="1:16">
      <c r="A43" s="269"/>
      <c r="B43" s="269"/>
      <c r="C43" s="290"/>
      <c r="D43" s="291"/>
      <c r="E43" s="269"/>
      <c r="F43" s="283"/>
      <c r="G43" s="283"/>
      <c r="H43" s="283"/>
      <c r="I43" s="283"/>
      <c r="J43" s="300"/>
      <c r="K43" s="283"/>
      <c r="L43" s="300"/>
      <c r="M43" s="283"/>
      <c r="N43" s="300"/>
      <c r="O43" s="283"/>
      <c r="P43" s="301"/>
    </row>
    <row r="44" ht="15.75" spans="1:16">
      <c r="A44" s="269"/>
      <c r="B44" s="269"/>
      <c r="C44" s="290"/>
      <c r="D44" s="288" t="s">
        <v>77</v>
      </c>
      <c r="E44" s="269"/>
      <c r="F44" s="283">
        <f>F34</f>
        <v>365.19</v>
      </c>
      <c r="G44" s="285" t="s">
        <v>60</v>
      </c>
      <c r="H44" s="285"/>
      <c r="I44" s="285" t="s">
        <v>60</v>
      </c>
      <c r="J44" s="285"/>
      <c r="K44" s="285" t="s">
        <v>60</v>
      </c>
      <c r="L44" s="285"/>
      <c r="M44" s="285" t="s">
        <v>60</v>
      </c>
      <c r="N44" s="305">
        <v>0.4</v>
      </c>
      <c r="O44" s="283"/>
      <c r="P44" s="302">
        <f>PRODUCT(F44:N44)</f>
        <v>146.076</v>
      </c>
    </row>
    <row r="45" ht="16.2" customHeight="1" spans="1:16">
      <c r="A45" s="269"/>
      <c r="B45" s="269"/>
      <c r="C45" s="290"/>
      <c r="D45" s="288" t="s">
        <v>81</v>
      </c>
      <c r="E45" s="280"/>
      <c r="F45" s="283">
        <f>151.04+210.96+1.75+2.61</f>
        <v>366.36</v>
      </c>
      <c r="G45" s="286" t="s">
        <v>60</v>
      </c>
      <c r="H45" s="286"/>
      <c r="I45" s="286" t="s">
        <v>60</v>
      </c>
      <c r="J45" s="286"/>
      <c r="K45" s="286" t="s">
        <v>60</v>
      </c>
      <c r="L45" s="286"/>
      <c r="M45" s="286" t="s">
        <v>60</v>
      </c>
      <c r="N45" s="306">
        <v>0.2</v>
      </c>
      <c r="O45" s="286" t="s">
        <v>61</v>
      </c>
      <c r="P45" s="302">
        <f>PRODUCT(F45:N45)</f>
        <v>73.272</v>
      </c>
    </row>
    <row r="46" ht="15.75" spans="1:16">
      <c r="A46" s="280"/>
      <c r="B46" s="280"/>
      <c r="C46" s="284"/>
      <c r="D46" s="288"/>
      <c r="E46" s="280"/>
      <c r="F46" s="283"/>
      <c r="G46" s="286"/>
      <c r="H46" s="286"/>
      <c r="I46" s="286"/>
      <c r="J46" s="286"/>
      <c r="K46" s="286"/>
      <c r="L46" s="286"/>
      <c r="M46" s="286"/>
      <c r="N46" s="286"/>
      <c r="O46" s="286"/>
      <c r="P46" s="302"/>
    </row>
    <row r="47" ht="15.75" spans="1:16">
      <c r="A47" s="280"/>
      <c r="B47" s="280"/>
      <c r="C47" s="284"/>
      <c r="D47" s="285"/>
      <c r="E47" s="280"/>
      <c r="F47" s="283"/>
      <c r="G47" s="286"/>
      <c r="H47" s="286"/>
      <c r="I47" s="286"/>
      <c r="J47" s="286"/>
      <c r="K47" s="286"/>
      <c r="L47" s="286"/>
      <c r="M47" s="286"/>
      <c r="N47" s="300" t="s">
        <v>27</v>
      </c>
      <c r="O47" s="283" t="s">
        <v>61</v>
      </c>
      <c r="P47" s="301">
        <f>ROUND(SUM(P44:P45),2)</f>
        <v>219.35</v>
      </c>
    </row>
    <row r="48" ht="15.75" spans="1:16">
      <c r="A48" s="280"/>
      <c r="B48" s="280"/>
      <c r="C48" s="284"/>
      <c r="D48" s="285"/>
      <c r="E48" s="280"/>
      <c r="F48" s="283"/>
      <c r="G48" s="286"/>
      <c r="H48" s="286"/>
      <c r="I48" s="286"/>
      <c r="J48" s="286"/>
      <c r="K48" s="286"/>
      <c r="L48" s="286"/>
      <c r="M48" s="286"/>
      <c r="N48" s="300"/>
      <c r="O48" s="283"/>
      <c r="P48" s="301"/>
    </row>
    <row r="49" ht="31.5" spans="1:16">
      <c r="A49" s="280" t="s">
        <v>83</v>
      </c>
      <c r="B49" s="280" t="s">
        <v>64</v>
      </c>
      <c r="C49" s="281">
        <v>3</v>
      </c>
      <c r="D49" s="282" t="str">
        <f>COMPOSIÇÕES!A43</f>
        <v>DEMOLIÇÃO MANUAL DE CONCRETO SIMPLES (ALGEROZES DO SETOR CENTRAL)</v>
      </c>
      <c r="E49" s="280" t="s">
        <v>84</v>
      </c>
      <c r="F49" s="283"/>
      <c r="G49" s="283"/>
      <c r="H49" s="283"/>
      <c r="I49" s="283"/>
      <c r="J49" s="300"/>
      <c r="K49" s="283"/>
      <c r="L49" s="300"/>
      <c r="M49" s="283"/>
      <c r="N49" s="300"/>
      <c r="O49" s="283"/>
      <c r="P49" s="301"/>
    </row>
    <row r="50" ht="15.75" spans="1:17">
      <c r="A50" s="280"/>
      <c r="B50" s="280"/>
      <c r="C50" s="281"/>
      <c r="D50" s="282"/>
      <c r="E50" s="280"/>
      <c r="F50" s="283"/>
      <c r="G50" s="283"/>
      <c r="H50" s="283"/>
      <c r="I50" s="283"/>
      <c r="J50" s="300"/>
      <c r="K50" s="283"/>
      <c r="L50" s="300"/>
      <c r="M50" s="283"/>
      <c r="N50" s="300"/>
      <c r="O50" s="283"/>
      <c r="P50" s="301"/>
      <c r="Q50" s="309"/>
    </row>
    <row r="51" ht="31.5" spans="1:17">
      <c r="A51" s="280"/>
      <c r="B51" s="280"/>
      <c r="C51" s="284"/>
      <c r="D51" s="288" t="s">
        <v>85</v>
      </c>
      <c r="E51" s="280"/>
      <c r="F51" s="283">
        <f>12.85+12.85</f>
        <v>25.7</v>
      </c>
      <c r="G51" s="286" t="s">
        <v>60</v>
      </c>
      <c r="H51" s="286">
        <v>0.3</v>
      </c>
      <c r="I51" s="286" t="s">
        <v>60</v>
      </c>
      <c r="J51" s="286">
        <v>0.1</v>
      </c>
      <c r="K51" s="286" t="s">
        <v>60</v>
      </c>
      <c r="L51" s="286"/>
      <c r="M51" s="286" t="s">
        <v>60</v>
      </c>
      <c r="N51" s="286"/>
      <c r="O51" s="286" t="s">
        <v>61</v>
      </c>
      <c r="P51" s="302">
        <f>PRODUCT(F51:N51)</f>
        <v>0.771</v>
      </c>
      <c r="Q51" s="309"/>
    </row>
    <row r="52" ht="15.75" spans="1:17">
      <c r="A52" s="280"/>
      <c r="B52" s="280"/>
      <c r="C52" s="284"/>
      <c r="D52" s="288" t="s">
        <v>86</v>
      </c>
      <c r="E52" s="280"/>
      <c r="F52" s="283">
        <f>3.55+3.55+3.9+3.9</f>
        <v>14.9</v>
      </c>
      <c r="G52" s="286" t="s">
        <v>60</v>
      </c>
      <c r="H52" s="286">
        <v>0.3</v>
      </c>
      <c r="I52" s="286" t="s">
        <v>60</v>
      </c>
      <c r="J52" s="286">
        <v>0.1</v>
      </c>
      <c r="K52" s="286" t="s">
        <v>60</v>
      </c>
      <c r="L52" s="286"/>
      <c r="M52" s="286" t="s">
        <v>60</v>
      </c>
      <c r="N52" s="286"/>
      <c r="O52" s="286" t="s">
        <v>61</v>
      </c>
      <c r="P52" s="302">
        <f>PRODUCT(F52:N52)</f>
        <v>0.447</v>
      </c>
      <c r="Q52" s="309"/>
    </row>
    <row r="53" ht="15.75" spans="1:17">
      <c r="A53" s="280"/>
      <c r="B53" s="280"/>
      <c r="C53" s="284"/>
      <c r="D53" s="288" t="s">
        <v>87</v>
      </c>
      <c r="E53" s="280"/>
      <c r="F53" s="283">
        <f>5.69+5.69+3.45+3.45</f>
        <v>18.28</v>
      </c>
      <c r="G53" s="286" t="s">
        <v>60</v>
      </c>
      <c r="H53" s="286">
        <v>0.3</v>
      </c>
      <c r="I53" s="286" t="s">
        <v>60</v>
      </c>
      <c r="J53" s="286">
        <v>0.1</v>
      </c>
      <c r="K53" s="286" t="s">
        <v>60</v>
      </c>
      <c r="L53" s="286"/>
      <c r="M53" s="286" t="s">
        <v>60</v>
      </c>
      <c r="N53" s="286"/>
      <c r="O53" s="286" t="s">
        <v>61</v>
      </c>
      <c r="P53" s="302">
        <f>PRODUCT(F53:N53)</f>
        <v>0.5484</v>
      </c>
      <c r="Q53" s="309"/>
    </row>
    <row r="54" ht="31.5" spans="1:17">
      <c r="A54" s="280"/>
      <c r="B54" s="280"/>
      <c r="C54" s="284"/>
      <c r="D54" s="288" t="s">
        <v>88</v>
      </c>
      <c r="E54" s="280"/>
      <c r="F54" s="283">
        <f>12.8+12.8</f>
        <v>25.6</v>
      </c>
      <c r="G54" s="286" t="s">
        <v>60</v>
      </c>
      <c r="H54" s="286">
        <v>0.3</v>
      </c>
      <c r="I54" s="286" t="s">
        <v>60</v>
      </c>
      <c r="J54" s="286">
        <v>0.1</v>
      </c>
      <c r="K54" s="286" t="s">
        <v>60</v>
      </c>
      <c r="L54" s="286"/>
      <c r="M54" s="286" t="s">
        <v>60</v>
      </c>
      <c r="N54" s="286"/>
      <c r="O54" s="286" t="s">
        <v>61</v>
      </c>
      <c r="P54" s="302">
        <f>PRODUCT(F54:N54)</f>
        <v>0.768</v>
      </c>
      <c r="Q54" s="309"/>
    </row>
    <row r="55" ht="15.75" spans="1:17">
      <c r="A55" s="280"/>
      <c r="B55" s="280"/>
      <c r="C55" s="284"/>
      <c r="D55" s="288" t="s">
        <v>89</v>
      </c>
      <c r="E55" s="280"/>
      <c r="F55" s="283">
        <f>3.22+3.22+1.1+1.1</f>
        <v>8.64</v>
      </c>
      <c r="G55" s="286" t="s">
        <v>60</v>
      </c>
      <c r="H55" s="286">
        <v>0.3</v>
      </c>
      <c r="I55" s="286" t="s">
        <v>60</v>
      </c>
      <c r="J55" s="286">
        <v>0.1</v>
      </c>
      <c r="K55" s="286" t="s">
        <v>60</v>
      </c>
      <c r="L55" s="286"/>
      <c r="M55" s="286" t="s">
        <v>60</v>
      </c>
      <c r="N55" s="286"/>
      <c r="O55" s="286" t="s">
        <v>61</v>
      </c>
      <c r="P55" s="302">
        <f>PRODUCT(F55:N55)</f>
        <v>0.2592</v>
      </c>
      <c r="Q55" s="309"/>
    </row>
    <row r="56" ht="15.75" spans="1:17">
      <c r="A56" s="280"/>
      <c r="B56" s="280"/>
      <c r="C56" s="284"/>
      <c r="D56" s="288"/>
      <c r="E56" s="280"/>
      <c r="F56" s="283"/>
      <c r="G56" s="286"/>
      <c r="H56" s="286"/>
      <c r="I56" s="286"/>
      <c r="J56" s="286"/>
      <c r="K56" s="286"/>
      <c r="L56" s="286"/>
      <c r="M56" s="286"/>
      <c r="N56" s="286"/>
      <c r="O56" s="286"/>
      <c r="P56" s="302"/>
      <c r="Q56" s="309"/>
    </row>
    <row r="57" ht="15.75" spans="1:16">
      <c r="A57" s="280"/>
      <c r="B57" s="280"/>
      <c r="C57" s="284"/>
      <c r="D57" s="285"/>
      <c r="E57" s="280"/>
      <c r="F57" s="283"/>
      <c r="G57" s="286"/>
      <c r="H57" s="286"/>
      <c r="I57" s="286"/>
      <c r="J57" s="286"/>
      <c r="K57" s="286"/>
      <c r="L57" s="286"/>
      <c r="M57" s="286"/>
      <c r="N57" s="300" t="s">
        <v>27</v>
      </c>
      <c r="O57" s="283" t="s">
        <v>61</v>
      </c>
      <c r="P57" s="301">
        <f>ROUND(SUM(P51:P55),2)</f>
        <v>2.79</v>
      </c>
    </row>
    <row r="58" ht="15.75" spans="1:16">
      <c r="A58" s="280"/>
      <c r="B58" s="280"/>
      <c r="C58" s="284"/>
      <c r="D58" s="285"/>
      <c r="E58" s="280"/>
      <c r="F58" s="283"/>
      <c r="G58" s="286"/>
      <c r="H58" s="286"/>
      <c r="I58" s="286"/>
      <c r="J58" s="286"/>
      <c r="K58" s="286"/>
      <c r="L58" s="286"/>
      <c r="M58" s="286"/>
      <c r="N58" s="300"/>
      <c r="O58" s="283"/>
      <c r="P58" s="301"/>
    </row>
    <row r="59" ht="30" customHeight="1" spans="1:16">
      <c r="A59" s="280" t="s">
        <v>90</v>
      </c>
      <c r="B59" s="280" t="s">
        <v>57</v>
      </c>
      <c r="C59" s="281">
        <v>97644</v>
      </c>
      <c r="D59" s="282" t="s">
        <v>91</v>
      </c>
      <c r="E59" s="280" t="s">
        <v>66</v>
      </c>
      <c r="F59" s="283"/>
      <c r="G59" s="283"/>
      <c r="H59" s="283"/>
      <c r="I59" s="283"/>
      <c r="J59" s="300"/>
      <c r="K59" s="283"/>
      <c r="L59" s="300"/>
      <c r="M59" s="283"/>
      <c r="N59" s="300"/>
      <c r="O59" s="283"/>
      <c r="P59" s="301"/>
    </row>
    <row r="60" ht="15.75" spans="1:16">
      <c r="A60" s="280"/>
      <c r="B60" s="280"/>
      <c r="C60" s="281"/>
      <c r="D60" s="282"/>
      <c r="E60" s="280"/>
      <c r="F60" s="283"/>
      <c r="G60" s="283"/>
      <c r="H60" s="283"/>
      <c r="I60" s="283"/>
      <c r="J60" s="300"/>
      <c r="K60" s="283"/>
      <c r="L60" s="300"/>
      <c r="M60" s="283"/>
      <c r="N60" s="300"/>
      <c r="O60" s="283"/>
      <c r="P60" s="301"/>
    </row>
    <row r="61" ht="15.75" spans="1:16">
      <c r="A61" s="280"/>
      <c r="B61" s="280"/>
      <c r="C61" s="284"/>
      <c r="D61" s="288" t="s">
        <v>92</v>
      </c>
      <c r="E61" s="280"/>
      <c r="F61" s="283">
        <v>0.6</v>
      </c>
      <c r="G61" s="286" t="s">
        <v>60</v>
      </c>
      <c r="H61" s="286">
        <v>2.1</v>
      </c>
      <c r="I61" s="286" t="s">
        <v>60</v>
      </c>
      <c r="J61" s="286"/>
      <c r="K61" s="286" t="s">
        <v>60</v>
      </c>
      <c r="L61" s="286"/>
      <c r="M61" s="286" t="s">
        <v>60</v>
      </c>
      <c r="N61" s="286">
        <v>2</v>
      </c>
      <c r="O61" s="286" t="s">
        <v>61</v>
      </c>
      <c r="P61" s="302">
        <f>PRODUCT(F61:N61)</f>
        <v>2.52</v>
      </c>
    </row>
    <row r="62" ht="15.75" spans="1:16">
      <c r="A62" s="280"/>
      <c r="B62" s="280"/>
      <c r="C62" s="284"/>
      <c r="D62" s="288" t="s">
        <v>93</v>
      </c>
      <c r="E62" s="280"/>
      <c r="F62" s="283">
        <v>0.8</v>
      </c>
      <c r="G62" s="286" t="s">
        <v>60</v>
      </c>
      <c r="H62" s="286">
        <v>2.1</v>
      </c>
      <c r="I62" s="286" t="s">
        <v>60</v>
      </c>
      <c r="J62" s="286"/>
      <c r="K62" s="286" t="s">
        <v>60</v>
      </c>
      <c r="L62" s="286"/>
      <c r="M62" s="286" t="s">
        <v>60</v>
      </c>
      <c r="N62" s="286">
        <v>1</v>
      </c>
      <c r="O62" s="286" t="s">
        <v>61</v>
      </c>
      <c r="P62" s="302">
        <f>PRODUCT(F62:N62)</f>
        <v>1.68</v>
      </c>
    </row>
    <row r="63" ht="15.75" spans="1:16">
      <c r="A63" s="280"/>
      <c r="B63" s="280"/>
      <c r="C63" s="284"/>
      <c r="D63" s="288"/>
      <c r="E63" s="280"/>
      <c r="F63" s="283"/>
      <c r="G63" s="286"/>
      <c r="H63" s="286"/>
      <c r="I63" s="286"/>
      <c r="J63" s="286"/>
      <c r="K63" s="286"/>
      <c r="L63" s="286"/>
      <c r="M63" s="286"/>
      <c r="N63" s="286"/>
      <c r="O63" s="286"/>
      <c r="P63" s="302"/>
    </row>
    <row r="64" ht="15.75" spans="1:16">
      <c r="A64" s="280"/>
      <c r="B64" s="280"/>
      <c r="C64" s="284"/>
      <c r="D64" s="285"/>
      <c r="E64" s="280"/>
      <c r="F64" s="283"/>
      <c r="G64" s="286"/>
      <c r="H64" s="286"/>
      <c r="I64" s="286"/>
      <c r="J64" s="286"/>
      <c r="K64" s="286"/>
      <c r="L64" s="286"/>
      <c r="M64" s="286"/>
      <c r="N64" s="300" t="s">
        <v>27</v>
      </c>
      <c r="O64" s="283" t="s">
        <v>61</v>
      </c>
      <c r="P64" s="301">
        <f>ROUND(SUM(P61:P62),2)</f>
        <v>4.2</v>
      </c>
    </row>
    <row r="65" ht="15.75" spans="1:16">
      <c r="A65" s="280"/>
      <c r="B65" s="280"/>
      <c r="C65" s="284"/>
      <c r="D65" s="285"/>
      <c r="E65" s="280"/>
      <c r="F65" s="283"/>
      <c r="G65" s="286"/>
      <c r="H65" s="286"/>
      <c r="I65" s="286"/>
      <c r="J65" s="286"/>
      <c r="K65" s="286"/>
      <c r="L65" s="286"/>
      <c r="M65" s="286"/>
      <c r="N65" s="300"/>
      <c r="O65" s="283"/>
      <c r="P65" s="301"/>
    </row>
    <row r="66" ht="63" spans="1:16">
      <c r="A66" s="310" t="s">
        <v>94</v>
      </c>
      <c r="B66" s="310" t="s">
        <v>57</v>
      </c>
      <c r="C66" s="311">
        <v>97649</v>
      </c>
      <c r="D66" s="312" t="s">
        <v>95</v>
      </c>
      <c r="E66" s="310" t="s">
        <v>66</v>
      </c>
      <c r="F66" s="283"/>
      <c r="G66" s="283"/>
      <c r="H66" s="283"/>
      <c r="I66" s="283"/>
      <c r="J66" s="300"/>
      <c r="K66" s="283"/>
      <c r="L66" s="300"/>
      <c r="M66" s="283"/>
      <c r="N66" s="300"/>
      <c r="O66" s="283"/>
      <c r="P66" s="301"/>
    </row>
    <row r="67" ht="14.4" customHeight="1" spans="1:16">
      <c r="A67" s="280"/>
      <c r="B67" s="280"/>
      <c r="C67" s="281"/>
      <c r="D67" s="282"/>
      <c r="E67" s="280"/>
      <c r="F67" s="283"/>
      <c r="G67" s="283"/>
      <c r="H67" s="283"/>
      <c r="I67" s="283"/>
      <c r="J67" s="300"/>
      <c r="K67" s="283"/>
      <c r="L67" s="300"/>
      <c r="M67" s="283"/>
      <c r="N67" s="300"/>
      <c r="O67" s="283"/>
      <c r="P67" s="301"/>
    </row>
    <row r="68" ht="31.5" spans="1:16">
      <c r="A68" s="280"/>
      <c r="B68" s="280"/>
      <c r="C68" s="284"/>
      <c r="D68" s="288" t="s">
        <v>96</v>
      </c>
      <c r="E68" s="280"/>
      <c r="F68" s="283">
        <f>420.16-1.44</f>
        <v>418.72</v>
      </c>
      <c r="G68" s="286" t="s">
        <v>60</v>
      </c>
      <c r="H68" s="286"/>
      <c r="I68" s="286" t="s">
        <v>60</v>
      </c>
      <c r="J68" s="286"/>
      <c r="K68" s="286" t="s">
        <v>60</v>
      </c>
      <c r="L68" s="286"/>
      <c r="M68" s="286" t="s">
        <v>60</v>
      </c>
      <c r="N68" s="286"/>
      <c r="O68" s="286" t="s">
        <v>61</v>
      </c>
      <c r="P68" s="302">
        <f>PRODUCT(F68:N68)</f>
        <v>418.72</v>
      </c>
    </row>
    <row r="69" ht="31.5" spans="1:16">
      <c r="A69" s="280"/>
      <c r="B69" s="280"/>
      <c r="C69" s="284"/>
      <c r="D69" s="288" t="s">
        <v>97</v>
      </c>
      <c r="E69" s="280"/>
      <c r="F69" s="283">
        <f>24.75+33.99+26.68+40.96</f>
        <v>126.38</v>
      </c>
      <c r="G69" s="286" t="s">
        <v>60</v>
      </c>
      <c r="H69" s="286"/>
      <c r="I69" s="286" t="s">
        <v>60</v>
      </c>
      <c r="J69" s="286"/>
      <c r="K69" s="286" t="s">
        <v>60</v>
      </c>
      <c r="L69" s="286"/>
      <c r="M69" s="286" t="s">
        <v>60</v>
      </c>
      <c r="N69" s="286"/>
      <c r="O69" s="286" t="s">
        <v>61</v>
      </c>
      <c r="P69" s="302">
        <f>PRODUCT(F69:N69)</f>
        <v>126.38</v>
      </c>
    </row>
    <row r="70" ht="31.5" spans="1:16">
      <c r="A70" s="280"/>
      <c r="B70" s="280"/>
      <c r="C70" s="284"/>
      <c r="D70" s="288" t="s">
        <v>98</v>
      </c>
      <c r="E70" s="280"/>
      <c r="F70" s="283">
        <f>421.81-11.5</f>
        <v>410.31</v>
      </c>
      <c r="G70" s="286" t="s">
        <v>60</v>
      </c>
      <c r="H70" s="286"/>
      <c r="I70" s="286" t="s">
        <v>60</v>
      </c>
      <c r="J70" s="286"/>
      <c r="K70" s="286" t="s">
        <v>60</v>
      </c>
      <c r="L70" s="286"/>
      <c r="M70" s="286" t="s">
        <v>60</v>
      </c>
      <c r="N70" s="286"/>
      <c r="O70" s="286" t="s">
        <v>61</v>
      </c>
      <c r="P70" s="302">
        <f>PRODUCT(F70:N70)</f>
        <v>410.31</v>
      </c>
    </row>
    <row r="71" ht="15.75" spans="1:16">
      <c r="A71" s="280"/>
      <c r="B71" s="280"/>
      <c r="C71" s="284"/>
      <c r="D71" s="288"/>
      <c r="E71" s="280"/>
      <c r="F71" s="283"/>
      <c r="G71" s="286"/>
      <c r="H71" s="286"/>
      <c r="I71" s="286"/>
      <c r="J71" s="286"/>
      <c r="K71" s="286"/>
      <c r="L71" s="286"/>
      <c r="M71" s="286"/>
      <c r="N71" s="286"/>
      <c r="O71" s="286"/>
      <c r="P71" s="302"/>
    </row>
    <row r="72" ht="15.75" spans="1:16">
      <c r="A72" s="280"/>
      <c r="B72" s="280"/>
      <c r="C72" s="284"/>
      <c r="D72" s="285"/>
      <c r="E72" s="280"/>
      <c r="F72" s="283"/>
      <c r="G72" s="286"/>
      <c r="H72" s="286"/>
      <c r="I72" s="286"/>
      <c r="J72" s="286"/>
      <c r="K72" s="286"/>
      <c r="L72" s="286"/>
      <c r="M72" s="286"/>
      <c r="N72" s="300" t="s">
        <v>27</v>
      </c>
      <c r="O72" s="283" t="s">
        <v>61</v>
      </c>
      <c r="P72" s="301">
        <f>ROUND(SUM(P68:P70),2)</f>
        <v>955.41</v>
      </c>
    </row>
    <row r="73" ht="15.75" spans="1:16">
      <c r="A73" s="280"/>
      <c r="B73" s="280"/>
      <c r="C73" s="284"/>
      <c r="D73" s="285"/>
      <c r="E73" s="280"/>
      <c r="F73" s="283"/>
      <c r="G73" s="286"/>
      <c r="H73" s="286"/>
      <c r="I73" s="286"/>
      <c r="J73" s="286"/>
      <c r="K73" s="286"/>
      <c r="L73" s="286"/>
      <c r="M73" s="286"/>
      <c r="N73" s="300"/>
      <c r="O73" s="283"/>
      <c r="P73" s="301"/>
    </row>
    <row r="74" ht="47.25" spans="1:16">
      <c r="A74" s="280" t="s">
        <v>99</v>
      </c>
      <c r="B74" s="280" t="s">
        <v>64</v>
      </c>
      <c r="C74" s="313">
        <v>4</v>
      </c>
      <c r="D74" s="282" t="str">
        <f>COMPOSIÇÕES!A57</f>
        <v>REMOÇÃO DE TRAMA DE MADEIRA PARA COBERTURA, DE FORMA MANUAL, SEM REAPROVEITAMENTO. AF_12/2017</v>
      </c>
      <c r="E74" s="280" t="s">
        <v>66</v>
      </c>
      <c r="F74" s="283"/>
      <c r="G74" s="283"/>
      <c r="H74" s="283"/>
      <c r="I74" s="283"/>
      <c r="J74" s="300"/>
      <c r="K74" s="283"/>
      <c r="L74" s="300"/>
      <c r="M74" s="283"/>
      <c r="N74" s="300"/>
      <c r="O74" s="283"/>
      <c r="P74" s="301"/>
    </row>
    <row r="75" ht="15.75" spans="1:16">
      <c r="A75" s="280"/>
      <c r="B75" s="280"/>
      <c r="C75" s="281"/>
      <c r="D75" s="282"/>
      <c r="E75" s="280"/>
      <c r="F75" s="283"/>
      <c r="G75" s="283"/>
      <c r="H75" s="283"/>
      <c r="I75" s="283"/>
      <c r="J75" s="300"/>
      <c r="K75" s="283"/>
      <c r="L75" s="300"/>
      <c r="M75" s="283"/>
      <c r="N75" s="300"/>
      <c r="O75" s="283"/>
      <c r="P75" s="301"/>
    </row>
    <row r="76" ht="31.5" spans="1:16">
      <c r="A76" s="280"/>
      <c r="B76" s="280"/>
      <c r="C76" s="284"/>
      <c r="D76" s="288" t="s">
        <v>96</v>
      </c>
      <c r="E76" s="280"/>
      <c r="F76" s="283">
        <f>420.16-1.44</f>
        <v>418.72</v>
      </c>
      <c r="G76" s="286" t="s">
        <v>60</v>
      </c>
      <c r="H76" s="286"/>
      <c r="I76" s="286" t="s">
        <v>60</v>
      </c>
      <c r="J76" s="286"/>
      <c r="K76" s="286" t="s">
        <v>60</v>
      </c>
      <c r="L76" s="286"/>
      <c r="M76" s="286" t="s">
        <v>60</v>
      </c>
      <c r="N76" s="286"/>
      <c r="O76" s="286" t="s">
        <v>61</v>
      </c>
      <c r="P76" s="302">
        <f>PRODUCT(F76:N76)</f>
        <v>418.72</v>
      </c>
    </row>
    <row r="77" ht="31.5" spans="1:16">
      <c r="A77" s="280"/>
      <c r="B77" s="280"/>
      <c r="C77" s="284"/>
      <c r="D77" s="288" t="s">
        <v>97</v>
      </c>
      <c r="E77" s="280"/>
      <c r="F77" s="283">
        <f>24.75+33.99+26.68+40.96</f>
        <v>126.38</v>
      </c>
      <c r="G77" s="286" t="s">
        <v>60</v>
      </c>
      <c r="H77" s="286"/>
      <c r="I77" s="286" t="s">
        <v>60</v>
      </c>
      <c r="J77" s="286"/>
      <c r="K77" s="286" t="s">
        <v>60</v>
      </c>
      <c r="L77" s="286"/>
      <c r="M77" s="286" t="s">
        <v>60</v>
      </c>
      <c r="N77" s="286"/>
      <c r="O77" s="286" t="s">
        <v>61</v>
      </c>
      <c r="P77" s="302">
        <f>PRODUCT(F77:N77)</f>
        <v>126.38</v>
      </c>
    </row>
    <row r="78" ht="31.5" spans="1:16">
      <c r="A78" s="280"/>
      <c r="B78" s="280"/>
      <c r="C78" s="284"/>
      <c r="D78" s="288" t="s">
        <v>98</v>
      </c>
      <c r="E78" s="280"/>
      <c r="F78" s="283">
        <f>421.81-11.5</f>
        <v>410.31</v>
      </c>
      <c r="G78" s="286" t="s">
        <v>60</v>
      </c>
      <c r="H78" s="286"/>
      <c r="I78" s="286" t="s">
        <v>60</v>
      </c>
      <c r="J78" s="286"/>
      <c r="K78" s="286" t="s">
        <v>60</v>
      </c>
      <c r="L78" s="286"/>
      <c r="M78" s="286" t="s">
        <v>60</v>
      </c>
      <c r="N78" s="286"/>
      <c r="O78" s="286" t="s">
        <v>61</v>
      </c>
      <c r="P78" s="302">
        <f>PRODUCT(F78:N78)</f>
        <v>410.31</v>
      </c>
    </row>
    <row r="79" ht="15.75" spans="1:16">
      <c r="A79" s="280"/>
      <c r="B79" s="280"/>
      <c r="C79" s="284"/>
      <c r="D79" s="288"/>
      <c r="E79" s="280"/>
      <c r="F79" s="283"/>
      <c r="G79" s="286"/>
      <c r="H79" s="286"/>
      <c r="I79" s="286"/>
      <c r="J79" s="286"/>
      <c r="K79" s="286"/>
      <c r="L79" s="286"/>
      <c r="M79" s="286"/>
      <c r="N79" s="286"/>
      <c r="O79" s="286"/>
      <c r="P79" s="302"/>
    </row>
    <row r="80" ht="15.75" spans="1:16">
      <c r="A80" s="280"/>
      <c r="B80" s="280"/>
      <c r="C80" s="284"/>
      <c r="D80" s="285"/>
      <c r="E80" s="280"/>
      <c r="F80" s="283"/>
      <c r="G80" s="286"/>
      <c r="H80" s="286"/>
      <c r="I80" s="286"/>
      <c r="J80" s="286"/>
      <c r="K80" s="286"/>
      <c r="L80" s="286"/>
      <c r="M80" s="286"/>
      <c r="N80" s="300" t="s">
        <v>27</v>
      </c>
      <c r="O80" s="283" t="s">
        <v>61</v>
      </c>
      <c r="P80" s="301">
        <f>ROUND(SUM(P76:P78),2)</f>
        <v>955.41</v>
      </c>
    </row>
    <row r="81" ht="15.75" spans="1:16">
      <c r="A81" s="280"/>
      <c r="B81" s="280"/>
      <c r="C81" s="284"/>
      <c r="D81" s="285"/>
      <c r="E81" s="280"/>
      <c r="F81" s="283"/>
      <c r="G81" s="286"/>
      <c r="H81" s="286"/>
      <c r="I81" s="286"/>
      <c r="J81" s="286"/>
      <c r="K81" s="286"/>
      <c r="L81" s="286"/>
      <c r="M81" s="286"/>
      <c r="N81" s="300"/>
      <c r="O81" s="283"/>
      <c r="P81" s="301"/>
    </row>
    <row r="82" ht="46.8" customHeight="1" spans="1:16">
      <c r="A82" s="280" t="s">
        <v>100</v>
      </c>
      <c r="B82" s="310" t="s">
        <v>57</v>
      </c>
      <c r="C82" s="313">
        <v>97628</v>
      </c>
      <c r="D82" s="282" t="s">
        <v>101</v>
      </c>
      <c r="E82" s="280" t="s">
        <v>102</v>
      </c>
      <c r="F82" s="283"/>
      <c r="G82" s="283"/>
      <c r="H82" s="283"/>
      <c r="I82" s="283"/>
      <c r="J82" s="300"/>
      <c r="K82" s="283"/>
      <c r="L82" s="300"/>
      <c r="M82" s="283"/>
      <c r="N82" s="300"/>
      <c r="O82" s="283"/>
      <c r="P82" s="301"/>
    </row>
    <row r="83" ht="15.75" spans="1:16">
      <c r="A83" s="280"/>
      <c r="B83" s="280"/>
      <c r="C83" s="281"/>
      <c r="D83" s="282"/>
      <c r="E83" s="280"/>
      <c r="F83" s="283"/>
      <c r="G83" s="283"/>
      <c r="H83" s="283"/>
      <c r="I83" s="283"/>
      <c r="J83" s="300"/>
      <c r="K83" s="283"/>
      <c r="L83" s="300"/>
      <c r="M83" s="283"/>
      <c r="N83" s="300"/>
      <c r="O83" s="283"/>
      <c r="P83" s="301"/>
    </row>
    <row r="84" ht="31.5" spans="1:16">
      <c r="A84" s="280"/>
      <c r="B84" s="280"/>
      <c r="C84" s="284"/>
      <c r="D84" s="288" t="s">
        <v>103</v>
      </c>
      <c r="E84" s="280"/>
      <c r="F84" s="314">
        <f>PI()*(0.1/2)^2</f>
        <v>0.00785398163397448</v>
      </c>
      <c r="G84" s="286" t="s">
        <v>60</v>
      </c>
      <c r="H84" s="286">
        <v>0.2</v>
      </c>
      <c r="I84" s="286" t="s">
        <v>60</v>
      </c>
      <c r="J84" s="286"/>
      <c r="K84" s="286" t="s">
        <v>60</v>
      </c>
      <c r="L84" s="286"/>
      <c r="M84" s="286" t="s">
        <v>60</v>
      </c>
      <c r="N84" s="286"/>
      <c r="O84" s="286" t="s">
        <v>61</v>
      </c>
      <c r="P84" s="303">
        <f>PRODUCT(F84:N84)</f>
        <v>0.0015707963267949</v>
      </c>
    </row>
    <row r="85" ht="31.5" spans="1:16">
      <c r="A85" s="280"/>
      <c r="B85" s="280"/>
      <c r="C85" s="284"/>
      <c r="D85" s="288" t="s">
        <v>104</v>
      </c>
      <c r="E85" s="280"/>
      <c r="F85" s="314">
        <f>PI()*(0.08/2)^2</f>
        <v>0.00502654824574367</v>
      </c>
      <c r="G85" s="286" t="s">
        <v>60</v>
      </c>
      <c r="H85" s="286">
        <v>0.2</v>
      </c>
      <c r="I85" s="286" t="s">
        <v>60</v>
      </c>
      <c r="J85" s="286"/>
      <c r="K85" s="286" t="s">
        <v>60</v>
      </c>
      <c r="L85" s="286"/>
      <c r="M85" s="286" t="s">
        <v>60</v>
      </c>
      <c r="N85" s="286"/>
      <c r="O85" s="286" t="s">
        <v>61</v>
      </c>
      <c r="P85" s="303">
        <f t="shared" ref="P85:P86" si="1">PRODUCT(F85:N85)</f>
        <v>0.00100530964914873</v>
      </c>
    </row>
    <row r="86" ht="31.5" spans="1:16">
      <c r="A86" s="280"/>
      <c r="B86" s="280"/>
      <c r="C86" s="284"/>
      <c r="D86" s="288" t="s">
        <v>105</v>
      </c>
      <c r="E86" s="280"/>
      <c r="F86" s="314">
        <f>PI()*(0.07/2)^2</f>
        <v>0.0038484510006475</v>
      </c>
      <c r="G86" s="286" t="s">
        <v>60</v>
      </c>
      <c r="H86" s="286">
        <v>0.2</v>
      </c>
      <c r="I86" s="286" t="s">
        <v>60</v>
      </c>
      <c r="J86" s="286"/>
      <c r="K86" s="286" t="s">
        <v>60</v>
      </c>
      <c r="L86" s="286"/>
      <c r="M86" s="286" t="s">
        <v>60</v>
      </c>
      <c r="N86" s="286"/>
      <c r="O86" s="286" t="s">
        <v>61</v>
      </c>
      <c r="P86" s="303">
        <f t="shared" si="1"/>
        <v>0.000769690200129499</v>
      </c>
    </row>
    <row r="87" ht="15.75" spans="1:16">
      <c r="A87" s="280"/>
      <c r="B87" s="280"/>
      <c r="C87" s="284"/>
      <c r="D87" s="288"/>
      <c r="E87" s="280"/>
      <c r="F87" s="283"/>
      <c r="G87" s="286"/>
      <c r="H87" s="286"/>
      <c r="I87" s="286"/>
      <c r="J87" s="286"/>
      <c r="K87" s="286"/>
      <c r="L87" s="286"/>
      <c r="M87" s="286"/>
      <c r="N87" s="286"/>
      <c r="O87" s="286"/>
      <c r="P87" s="302"/>
    </row>
    <row r="88" ht="15.75" spans="1:16">
      <c r="A88" s="280"/>
      <c r="B88" s="280"/>
      <c r="C88" s="284"/>
      <c r="D88" s="285"/>
      <c r="E88" s="280"/>
      <c r="F88" s="283"/>
      <c r="G88" s="286"/>
      <c r="H88" s="286"/>
      <c r="I88" s="286"/>
      <c r="J88" s="286"/>
      <c r="K88" s="286"/>
      <c r="L88" s="286"/>
      <c r="M88" s="286"/>
      <c r="N88" s="300" t="s">
        <v>27</v>
      </c>
      <c r="O88" s="283" t="s">
        <v>61</v>
      </c>
      <c r="P88" s="301">
        <f>ROUND(SUM(P84:P86),4)</f>
        <v>0.0033</v>
      </c>
    </row>
    <row r="89" ht="15.75" spans="1:16">
      <c r="A89" s="280"/>
      <c r="B89" s="280"/>
      <c r="C89" s="284"/>
      <c r="D89" s="285"/>
      <c r="E89" s="280"/>
      <c r="F89" s="283"/>
      <c r="G89" s="286"/>
      <c r="H89" s="286"/>
      <c r="I89" s="286"/>
      <c r="J89" s="286"/>
      <c r="K89" s="286"/>
      <c r="L89" s="286"/>
      <c r="M89" s="286"/>
      <c r="N89" s="300"/>
      <c r="O89" s="283"/>
      <c r="P89" s="301"/>
    </row>
    <row r="90" ht="15.75" spans="1:16">
      <c r="A90" s="280" t="s">
        <v>106</v>
      </c>
      <c r="B90" s="280" t="s">
        <v>64</v>
      </c>
      <c r="C90" s="281">
        <v>1</v>
      </c>
      <c r="D90" s="282" t="str">
        <f>COMPOSIÇÕES!A7</f>
        <v>LIMPEZA DE CAIXA D'ÁGUA 15.000L</v>
      </c>
      <c r="E90" s="280" t="s">
        <v>66</v>
      </c>
      <c r="F90" s="283"/>
      <c r="G90" s="283"/>
      <c r="H90" s="283"/>
      <c r="I90" s="283"/>
      <c r="J90" s="300"/>
      <c r="K90" s="283"/>
      <c r="L90" s="300"/>
      <c r="M90" s="283"/>
      <c r="N90" s="300"/>
      <c r="O90" s="283"/>
      <c r="P90" s="301"/>
    </row>
    <row r="91" ht="15.75" spans="1:16">
      <c r="A91" s="280"/>
      <c r="B91" s="280"/>
      <c r="C91" s="281"/>
      <c r="D91" s="282"/>
      <c r="E91" s="280"/>
      <c r="F91" s="283"/>
      <c r="G91" s="283"/>
      <c r="H91" s="283"/>
      <c r="I91" s="283"/>
      <c r="J91" s="300"/>
      <c r="K91" s="283"/>
      <c r="L91" s="300"/>
      <c r="M91" s="283"/>
      <c r="N91" s="300"/>
      <c r="O91" s="283"/>
      <c r="P91" s="301"/>
    </row>
    <row r="92" ht="15.75" spans="1:16">
      <c r="A92" s="280"/>
      <c r="B92" s="280"/>
      <c r="C92" s="284"/>
      <c r="D92" s="288" t="s">
        <v>107</v>
      </c>
      <c r="E92" s="280"/>
      <c r="F92" s="283">
        <v>5.39</v>
      </c>
      <c r="G92" s="286" t="s">
        <v>60</v>
      </c>
      <c r="H92" s="286">
        <v>2.85</v>
      </c>
      <c r="I92" s="286" t="s">
        <v>60</v>
      </c>
      <c r="J92" s="286">
        <v>1.2</v>
      </c>
      <c r="K92" s="286" t="s">
        <v>60</v>
      </c>
      <c r="L92" s="286"/>
      <c r="M92" s="286" t="s">
        <v>60</v>
      </c>
      <c r="N92" s="286"/>
      <c r="O92" s="286" t="s">
        <v>61</v>
      </c>
      <c r="P92" s="302">
        <f>((F92+F92+H92+H92)*J92)+2*(F92*H92)</f>
        <v>50.499</v>
      </c>
    </row>
    <row r="93" ht="15.75" spans="1:16">
      <c r="A93" s="280"/>
      <c r="B93" s="280"/>
      <c r="C93" s="284"/>
      <c r="D93" s="288"/>
      <c r="E93" s="280"/>
      <c r="F93" s="283"/>
      <c r="G93" s="286"/>
      <c r="H93" s="286"/>
      <c r="I93" s="286"/>
      <c r="J93" s="286"/>
      <c r="K93" s="286"/>
      <c r="L93" s="286"/>
      <c r="M93" s="286"/>
      <c r="N93" s="286"/>
      <c r="O93" s="286"/>
      <c r="P93" s="302"/>
    </row>
    <row r="94" ht="15.75" spans="1:16">
      <c r="A94" s="280"/>
      <c r="B94" s="280"/>
      <c r="C94" s="284"/>
      <c r="D94" s="288"/>
      <c r="E94" s="280"/>
      <c r="F94" s="283"/>
      <c r="G94" s="286"/>
      <c r="H94" s="286"/>
      <c r="I94" s="286"/>
      <c r="J94" s="286"/>
      <c r="K94" s="286"/>
      <c r="L94" s="286"/>
      <c r="M94" s="286"/>
      <c r="N94" s="286"/>
      <c r="O94" s="286"/>
      <c r="P94" s="302"/>
    </row>
    <row r="95" ht="15.75" spans="1:16">
      <c r="A95" s="280"/>
      <c r="B95" s="280"/>
      <c r="C95" s="284"/>
      <c r="D95" s="285"/>
      <c r="E95" s="280"/>
      <c r="F95" s="283"/>
      <c r="G95" s="286"/>
      <c r="H95" s="286"/>
      <c r="I95" s="286"/>
      <c r="J95" s="286"/>
      <c r="K95" s="286"/>
      <c r="L95" s="286"/>
      <c r="M95" s="286"/>
      <c r="N95" s="300" t="s">
        <v>27</v>
      </c>
      <c r="O95" s="283" t="s">
        <v>61</v>
      </c>
      <c r="P95" s="301">
        <f>ROUND(SUM(P92:P93),2)</f>
        <v>50.5</v>
      </c>
    </row>
    <row r="96" ht="15.75" spans="1:16">
      <c r="A96" s="280"/>
      <c r="B96" s="280"/>
      <c r="C96" s="284"/>
      <c r="D96" s="285"/>
      <c r="E96" s="280"/>
      <c r="F96" s="283"/>
      <c r="G96" s="286"/>
      <c r="H96" s="286"/>
      <c r="I96" s="286"/>
      <c r="J96" s="286"/>
      <c r="K96" s="286"/>
      <c r="L96" s="286"/>
      <c r="M96" s="286"/>
      <c r="N96" s="300"/>
      <c r="O96" s="283"/>
      <c r="P96" s="301"/>
    </row>
    <row r="97" ht="31.5" spans="1:16">
      <c r="A97" s="280" t="s">
        <v>108</v>
      </c>
      <c r="B97" s="310" t="s">
        <v>57</v>
      </c>
      <c r="C97" s="281">
        <v>99814</v>
      </c>
      <c r="D97" s="282" t="s">
        <v>109</v>
      </c>
      <c r="E97" s="280" t="s">
        <v>66</v>
      </c>
      <c r="F97" s="283"/>
      <c r="G97" s="283"/>
      <c r="H97" s="283"/>
      <c r="I97" s="283"/>
      <c r="J97" s="300"/>
      <c r="K97" s="283"/>
      <c r="L97" s="300"/>
      <c r="M97" s="283"/>
      <c r="N97" s="300"/>
      <c r="O97" s="283"/>
      <c r="P97" s="301"/>
    </row>
    <row r="98" ht="15.75" spans="1:16">
      <c r="A98" s="280"/>
      <c r="B98" s="280"/>
      <c r="C98" s="281"/>
      <c r="D98" s="282"/>
      <c r="E98" s="280"/>
      <c r="F98" s="283"/>
      <c r="G98" s="283"/>
      <c r="H98" s="283"/>
      <c r="I98" s="283"/>
      <c r="J98" s="300"/>
      <c r="K98" s="283"/>
      <c r="L98" s="300"/>
      <c r="M98" s="283"/>
      <c r="N98" s="300"/>
      <c r="O98" s="283"/>
      <c r="P98" s="301"/>
    </row>
    <row r="99" ht="15.75" spans="1:16">
      <c r="A99" s="280"/>
      <c r="B99" s="280"/>
      <c r="C99" s="284"/>
      <c r="D99" s="288" t="s">
        <v>110</v>
      </c>
      <c r="E99" s="280"/>
      <c r="F99" s="283">
        <f>32.82+32.82</f>
        <v>65.64</v>
      </c>
      <c r="G99" s="286" t="s">
        <v>60</v>
      </c>
      <c r="H99" s="286">
        <f>0.32+0.3+0.3</f>
        <v>0.92</v>
      </c>
      <c r="I99" s="286" t="s">
        <v>60</v>
      </c>
      <c r="J99" s="286"/>
      <c r="K99" s="286" t="s">
        <v>60</v>
      </c>
      <c r="L99" s="286"/>
      <c r="M99" s="286" t="s">
        <v>60</v>
      </c>
      <c r="N99" s="286"/>
      <c r="O99" s="286" t="s">
        <v>61</v>
      </c>
      <c r="P99" s="302">
        <f>PRODUCT(F99:N99)</f>
        <v>60.3888</v>
      </c>
    </row>
    <row r="100" ht="15.75" spans="1:16">
      <c r="A100" s="280"/>
      <c r="B100" s="280"/>
      <c r="C100" s="284"/>
      <c r="D100" s="288" t="s">
        <v>111</v>
      </c>
      <c r="E100" s="280"/>
      <c r="F100" s="283" t="s">
        <v>112</v>
      </c>
      <c r="G100" s="286" t="s">
        <v>60</v>
      </c>
      <c r="H100" s="286">
        <f>1+0.3+0.3</f>
        <v>1.6</v>
      </c>
      <c r="I100" s="286" t="s">
        <v>60</v>
      </c>
      <c r="J100" s="286"/>
      <c r="K100" s="286"/>
      <c r="L100" s="286"/>
      <c r="M100" s="286"/>
      <c r="N100" s="286"/>
      <c r="O100" s="286"/>
      <c r="P100" s="302">
        <f t="shared" ref="P100:P104" si="2">PRODUCT(F100:N100)</f>
        <v>1.6</v>
      </c>
    </row>
    <row r="101" ht="31.5" spans="1:16">
      <c r="A101" s="280"/>
      <c r="B101" s="280"/>
      <c r="C101" s="284"/>
      <c r="D101" s="288" t="s">
        <v>113</v>
      </c>
      <c r="E101" s="280"/>
      <c r="F101" s="283">
        <f>16.5+16.5+5.39+5.39</f>
        <v>43.78</v>
      </c>
      <c r="G101" s="286" t="s">
        <v>60</v>
      </c>
      <c r="H101" s="286">
        <f>0.32+0.3+0.3</f>
        <v>0.92</v>
      </c>
      <c r="I101" s="286" t="s">
        <v>60</v>
      </c>
      <c r="J101" s="286"/>
      <c r="K101" s="286" t="s">
        <v>60</v>
      </c>
      <c r="L101" s="286"/>
      <c r="M101" s="286" t="s">
        <v>60</v>
      </c>
      <c r="N101" s="286"/>
      <c r="O101" s="286" t="s">
        <v>61</v>
      </c>
      <c r="P101" s="302">
        <f t="shared" si="2"/>
        <v>40.2776</v>
      </c>
    </row>
    <row r="102" ht="15.75" spans="1:16">
      <c r="A102" s="280"/>
      <c r="B102" s="280"/>
      <c r="C102" s="284"/>
      <c r="D102" s="288" t="s">
        <v>114</v>
      </c>
      <c r="E102" s="280"/>
      <c r="F102" s="283">
        <f>32.83+32.83</f>
        <v>65.66</v>
      </c>
      <c r="G102" s="286" t="s">
        <v>60</v>
      </c>
      <c r="H102" s="286">
        <f>0.32+0.3+0.3</f>
        <v>0.92</v>
      </c>
      <c r="I102" s="286" t="s">
        <v>60</v>
      </c>
      <c r="J102" s="286"/>
      <c r="K102" s="286" t="s">
        <v>60</v>
      </c>
      <c r="L102" s="286"/>
      <c r="M102" s="286" t="s">
        <v>60</v>
      </c>
      <c r="N102" s="286"/>
      <c r="O102" s="286" t="s">
        <v>61</v>
      </c>
      <c r="P102" s="302">
        <f t="shared" si="2"/>
        <v>60.4072</v>
      </c>
    </row>
    <row r="103" ht="15.75" spans="1:16">
      <c r="A103" s="280"/>
      <c r="B103" s="280"/>
      <c r="C103" s="284"/>
      <c r="D103" s="288" t="s">
        <v>115</v>
      </c>
      <c r="E103" s="280"/>
      <c r="F103" s="283">
        <f>5.69+5.69+3.15+3.15</f>
        <v>17.68</v>
      </c>
      <c r="G103" s="286" t="s">
        <v>60</v>
      </c>
      <c r="H103" s="286"/>
      <c r="I103" s="286" t="s">
        <v>60</v>
      </c>
      <c r="J103" s="286">
        <v>3.3</v>
      </c>
      <c r="K103" s="286" t="s">
        <v>60</v>
      </c>
      <c r="L103" s="286"/>
      <c r="M103" s="286" t="s">
        <v>60</v>
      </c>
      <c r="N103" s="286"/>
      <c r="O103" s="286" t="s">
        <v>61</v>
      </c>
      <c r="P103" s="302">
        <f t="shared" si="2"/>
        <v>58.344</v>
      </c>
    </row>
    <row r="104" ht="15.75" spans="1:16">
      <c r="A104" s="280"/>
      <c r="B104" s="280"/>
      <c r="C104" s="284"/>
      <c r="D104" s="288" t="s">
        <v>116</v>
      </c>
      <c r="E104" s="280"/>
      <c r="F104" s="283">
        <f>3.95+3.95+2.9+2.9</f>
        <v>13.7</v>
      </c>
      <c r="G104" s="286" t="s">
        <v>60</v>
      </c>
      <c r="H104" s="286"/>
      <c r="I104" s="286" t="s">
        <v>60</v>
      </c>
      <c r="J104" s="286">
        <v>3.3</v>
      </c>
      <c r="K104" s="286" t="s">
        <v>60</v>
      </c>
      <c r="L104" s="286"/>
      <c r="M104" s="286" t="s">
        <v>60</v>
      </c>
      <c r="N104" s="286"/>
      <c r="O104" s="286" t="s">
        <v>61</v>
      </c>
      <c r="P104" s="302">
        <f t="shared" si="2"/>
        <v>45.21</v>
      </c>
    </row>
    <row r="105" ht="15.75" spans="1:16">
      <c r="A105" s="280"/>
      <c r="B105" s="280"/>
      <c r="C105" s="284"/>
      <c r="D105" s="288"/>
      <c r="E105" s="280"/>
      <c r="F105" s="283"/>
      <c r="G105" s="286"/>
      <c r="H105" s="286"/>
      <c r="I105" s="286"/>
      <c r="J105" s="286"/>
      <c r="K105" s="286"/>
      <c r="L105" s="286"/>
      <c r="M105" s="286"/>
      <c r="N105" s="286"/>
      <c r="O105" s="286"/>
      <c r="P105" s="302"/>
    </row>
    <row r="106" ht="15.75" spans="1:16">
      <c r="A106" s="280"/>
      <c r="B106" s="280"/>
      <c r="C106" s="284"/>
      <c r="D106" s="285"/>
      <c r="E106" s="280"/>
      <c r="F106" s="283"/>
      <c r="G106" s="286"/>
      <c r="H106" s="286"/>
      <c r="I106" s="286"/>
      <c r="J106" s="286"/>
      <c r="K106" s="286"/>
      <c r="L106" s="286"/>
      <c r="M106" s="286"/>
      <c r="N106" s="300" t="s">
        <v>27</v>
      </c>
      <c r="O106" s="283" t="s">
        <v>61</v>
      </c>
      <c r="P106" s="301">
        <f>ROUND(SUM(P99:P104),2)</f>
        <v>266.23</v>
      </c>
    </row>
    <row r="107" ht="15.75" spans="1:16">
      <c r="A107" s="280"/>
      <c r="B107" s="280"/>
      <c r="C107" s="284"/>
      <c r="D107" s="285"/>
      <c r="E107" s="280"/>
      <c r="F107" s="283"/>
      <c r="G107" s="286"/>
      <c r="H107" s="286"/>
      <c r="I107" s="286"/>
      <c r="J107" s="286"/>
      <c r="K107" s="286"/>
      <c r="L107" s="286"/>
      <c r="M107" s="286"/>
      <c r="N107" s="300"/>
      <c r="O107" s="283"/>
      <c r="P107" s="301"/>
    </row>
    <row r="108" ht="15.75" spans="1:16">
      <c r="A108" s="280" t="s">
        <v>117</v>
      </c>
      <c r="B108" s="310" t="s">
        <v>57</v>
      </c>
      <c r="C108" s="281">
        <v>100983</v>
      </c>
      <c r="D108" s="282" t="s">
        <v>118</v>
      </c>
      <c r="E108" s="280" t="s">
        <v>84</v>
      </c>
      <c r="F108" s="283"/>
      <c r="G108" s="283"/>
      <c r="H108" s="283"/>
      <c r="I108" s="283"/>
      <c r="J108" s="300"/>
      <c r="K108" s="283"/>
      <c r="L108" s="300"/>
      <c r="M108" s="283"/>
      <c r="N108" s="300"/>
      <c r="O108" s="283"/>
      <c r="P108" s="301"/>
    </row>
    <row r="109" ht="15.75" spans="1:16">
      <c r="A109" s="280"/>
      <c r="B109" s="280"/>
      <c r="C109" s="284"/>
      <c r="D109" s="282"/>
      <c r="E109" s="280"/>
      <c r="F109" s="283"/>
      <c r="G109" s="283"/>
      <c r="H109" s="283"/>
      <c r="I109" s="283"/>
      <c r="J109" s="300"/>
      <c r="K109" s="283"/>
      <c r="L109" s="300"/>
      <c r="M109" s="283"/>
      <c r="N109" s="300"/>
      <c r="O109" s="283"/>
      <c r="P109" s="301"/>
    </row>
    <row r="110" ht="63" spans="1:16">
      <c r="A110" s="280"/>
      <c r="B110" s="280"/>
      <c r="C110" s="284"/>
      <c r="D110" s="282" t="s">
        <v>69</v>
      </c>
      <c r="E110" s="280" t="s">
        <v>84</v>
      </c>
      <c r="F110" s="283"/>
      <c r="G110" s="283"/>
      <c r="H110" s="283"/>
      <c r="I110" s="283"/>
      <c r="J110" s="300" t="s">
        <v>119</v>
      </c>
      <c r="K110" s="283"/>
      <c r="L110" s="300" t="s">
        <v>120</v>
      </c>
      <c r="M110" s="283"/>
      <c r="N110" s="300"/>
      <c r="O110" s="283"/>
      <c r="P110" s="301"/>
    </row>
    <row r="111" ht="15.75" spans="1:16">
      <c r="A111" s="280"/>
      <c r="B111" s="280"/>
      <c r="C111" s="284"/>
      <c r="D111" s="282"/>
      <c r="E111" s="280"/>
      <c r="F111" s="283"/>
      <c r="G111" s="283"/>
      <c r="H111" s="283"/>
      <c r="I111" s="283"/>
      <c r="J111" s="300"/>
      <c r="K111" s="283"/>
      <c r="L111" s="300"/>
      <c r="M111" s="283"/>
      <c r="N111" s="300"/>
      <c r="O111" s="283"/>
      <c r="P111" s="301"/>
    </row>
    <row r="112" ht="15.75" spans="1:16">
      <c r="A112" s="280"/>
      <c r="B112" s="280"/>
      <c r="C112" s="284"/>
      <c r="D112" s="288" t="s">
        <v>71</v>
      </c>
      <c r="E112" s="280"/>
      <c r="F112" s="283"/>
      <c r="G112" s="286"/>
      <c r="H112" s="286"/>
      <c r="I112" s="286"/>
      <c r="J112" s="286"/>
      <c r="K112" s="286"/>
      <c r="L112" s="286"/>
      <c r="M112" s="286"/>
      <c r="N112" s="286"/>
      <c r="O112" s="286"/>
      <c r="P112" s="302"/>
    </row>
    <row r="113" ht="15.75" spans="1:16">
      <c r="A113" s="280"/>
      <c r="B113" s="280"/>
      <c r="C113" s="284"/>
      <c r="D113" s="288" t="s">
        <v>72</v>
      </c>
      <c r="E113" s="280"/>
      <c r="F113" s="283">
        <v>38.28</v>
      </c>
      <c r="G113" s="286" t="s">
        <v>60</v>
      </c>
      <c r="H113" s="286">
        <v>3</v>
      </c>
      <c r="I113" s="286" t="s">
        <v>60</v>
      </c>
      <c r="J113" s="303">
        <f>PI()*(0.06/2)^2</f>
        <v>0.00282743338823081</v>
      </c>
      <c r="K113" s="286" t="s">
        <v>60</v>
      </c>
      <c r="L113" s="303">
        <v>1.2</v>
      </c>
      <c r="M113" s="286" t="s">
        <v>60</v>
      </c>
      <c r="N113" s="286"/>
      <c r="O113" s="286" t="s">
        <v>61</v>
      </c>
      <c r="P113" s="302">
        <f>PRODUCT(F113:N113)</f>
        <v>0.389642940365312</v>
      </c>
    </row>
    <row r="114" ht="15.75" spans="1:16">
      <c r="A114" s="280"/>
      <c r="B114" s="280"/>
      <c r="C114" s="284"/>
      <c r="D114" s="288" t="s">
        <v>73</v>
      </c>
      <c r="E114" s="280"/>
      <c r="F114" s="283">
        <v>37.72</v>
      </c>
      <c r="G114" s="286" t="s">
        <v>60</v>
      </c>
      <c r="H114" s="286">
        <v>2</v>
      </c>
      <c r="I114" s="286" t="s">
        <v>60</v>
      </c>
      <c r="J114" s="303">
        <f>PI()*(0.06/2)^2</f>
        <v>0.00282743338823081</v>
      </c>
      <c r="K114" s="286" t="s">
        <v>60</v>
      </c>
      <c r="L114" s="303">
        <v>1.2</v>
      </c>
      <c r="M114" s="286" t="s">
        <v>60</v>
      </c>
      <c r="N114" s="286"/>
      <c r="O114" s="286" t="s">
        <v>61</v>
      </c>
      <c r="P114" s="302">
        <f t="shared" ref="P114:P116" si="3">PRODUCT(F114:N114)</f>
        <v>0.255961889769759</v>
      </c>
    </row>
    <row r="115" ht="15.75" spans="1:16">
      <c r="A115" s="280"/>
      <c r="B115" s="280"/>
      <c r="C115" s="284"/>
      <c r="D115" s="288" t="s">
        <v>74</v>
      </c>
      <c r="E115" s="280"/>
      <c r="F115" s="283">
        <v>21.31</v>
      </c>
      <c r="G115" s="286" t="s">
        <v>60</v>
      </c>
      <c r="H115" s="286"/>
      <c r="I115" s="286" t="s">
        <v>60</v>
      </c>
      <c r="J115" s="303">
        <f>PI()*(0.06/2)^2</f>
        <v>0.00282743338823081</v>
      </c>
      <c r="K115" s="286" t="s">
        <v>60</v>
      </c>
      <c r="L115" s="303">
        <v>1.2</v>
      </c>
      <c r="M115" s="286" t="s">
        <v>60</v>
      </c>
      <c r="N115" s="286"/>
      <c r="O115" s="286" t="s">
        <v>61</v>
      </c>
      <c r="P115" s="302">
        <f t="shared" si="3"/>
        <v>0.0723031266038384</v>
      </c>
    </row>
    <row r="116" ht="15.75" spans="1:16">
      <c r="A116" s="280"/>
      <c r="B116" s="280"/>
      <c r="C116" s="284"/>
      <c r="D116" s="288" t="s">
        <v>75</v>
      </c>
      <c r="E116" s="280"/>
      <c r="F116" s="283">
        <v>21.87</v>
      </c>
      <c r="G116" s="286" t="s">
        <v>60</v>
      </c>
      <c r="H116" s="286"/>
      <c r="I116" s="286" t="s">
        <v>60</v>
      </c>
      <c r="J116" s="303">
        <f>PI()*(0.06/2)^2</f>
        <v>0.00282743338823081</v>
      </c>
      <c r="K116" s="286" t="s">
        <v>60</v>
      </c>
      <c r="L116" s="303">
        <v>1.2</v>
      </c>
      <c r="M116" s="286" t="s">
        <v>60</v>
      </c>
      <c r="N116" s="286"/>
      <c r="O116" s="286" t="s">
        <v>61</v>
      </c>
      <c r="P116" s="302">
        <f t="shared" si="3"/>
        <v>0.0742031618407295</v>
      </c>
    </row>
    <row r="117" ht="15.75" spans="1:16">
      <c r="A117" s="280"/>
      <c r="B117" s="280"/>
      <c r="C117" s="284"/>
      <c r="D117" s="288"/>
      <c r="E117" s="280"/>
      <c r="F117" s="283"/>
      <c r="G117" s="286"/>
      <c r="H117" s="315"/>
      <c r="I117" s="286"/>
      <c r="J117" s="286"/>
      <c r="K117" s="286"/>
      <c r="L117" s="286"/>
      <c r="M117" s="286"/>
      <c r="N117" s="286"/>
      <c r="O117" s="286"/>
      <c r="P117" s="302"/>
    </row>
    <row r="118" ht="15.75" spans="1:16">
      <c r="A118" s="280"/>
      <c r="B118" s="280"/>
      <c r="C118" s="284"/>
      <c r="D118" s="282" t="str">
        <f>COMPOSIÇÕES!A24</f>
        <v>DEMOLIÇÃO DE REBOCO ANTIGO</v>
      </c>
      <c r="E118" s="280" t="s">
        <v>84</v>
      </c>
      <c r="F118" s="283"/>
      <c r="G118" s="283"/>
      <c r="H118" s="283"/>
      <c r="I118" s="283"/>
      <c r="J118" s="300" t="s">
        <v>121</v>
      </c>
      <c r="K118" s="283"/>
      <c r="L118" s="300" t="s">
        <v>120</v>
      </c>
      <c r="M118" s="283"/>
      <c r="N118" s="300"/>
      <c r="O118" s="283"/>
      <c r="P118" s="301"/>
    </row>
    <row r="119" ht="15.75" spans="1:16">
      <c r="A119" s="280"/>
      <c r="B119" s="280"/>
      <c r="C119" s="284"/>
      <c r="D119" s="282"/>
      <c r="E119" s="280"/>
      <c r="F119" s="283"/>
      <c r="G119" s="283"/>
      <c r="H119" s="283"/>
      <c r="I119" s="283"/>
      <c r="J119" s="300"/>
      <c r="K119" s="283"/>
      <c r="L119" s="300"/>
      <c r="M119" s="283"/>
      <c r="N119" s="300"/>
      <c r="O119" s="283"/>
      <c r="P119" s="301"/>
    </row>
    <row r="120" ht="15.75" spans="1:16">
      <c r="A120" s="280"/>
      <c r="B120" s="280"/>
      <c r="C120" s="284"/>
      <c r="D120" s="288" t="s">
        <v>77</v>
      </c>
      <c r="E120" s="288"/>
      <c r="F120" s="283">
        <f>263.15+16.39+49.36+4.76+4.41+12.28+12.23+2.61</f>
        <v>365.19</v>
      </c>
      <c r="G120" s="285" t="s">
        <v>60</v>
      </c>
      <c r="H120" s="285"/>
      <c r="I120" s="285" t="s">
        <v>60</v>
      </c>
      <c r="J120" s="316">
        <v>0.02</v>
      </c>
      <c r="K120" s="285" t="s">
        <v>60</v>
      </c>
      <c r="L120" s="303">
        <v>1.2</v>
      </c>
      <c r="M120" s="285" t="s">
        <v>60</v>
      </c>
      <c r="N120" s="304">
        <v>0.2</v>
      </c>
      <c r="O120" s="288" t="s">
        <v>61</v>
      </c>
      <c r="P120" s="302">
        <f>PRODUCT(F120:N120)</f>
        <v>1.752912</v>
      </c>
    </row>
    <row r="121" ht="15.75" spans="1:16">
      <c r="A121" s="280"/>
      <c r="B121" s="280"/>
      <c r="C121" s="284"/>
      <c r="D121" s="288" t="s">
        <v>78</v>
      </c>
      <c r="E121" s="280"/>
      <c r="F121" s="283">
        <v>94.65</v>
      </c>
      <c r="G121" s="286" t="s">
        <v>60</v>
      </c>
      <c r="H121" s="286"/>
      <c r="I121" s="286" t="s">
        <v>60</v>
      </c>
      <c r="J121" s="316">
        <v>0.02</v>
      </c>
      <c r="K121" s="286" t="s">
        <v>60</v>
      </c>
      <c r="L121" s="303">
        <v>1.2</v>
      </c>
      <c r="M121" s="286" t="s">
        <v>60</v>
      </c>
      <c r="N121" s="304">
        <v>1</v>
      </c>
      <c r="O121" s="286" t="s">
        <v>61</v>
      </c>
      <c r="P121" s="302">
        <f>PRODUCT(F121:N121)</f>
        <v>2.2716</v>
      </c>
    </row>
    <row r="122" ht="15.75" spans="1:16">
      <c r="A122" s="280"/>
      <c r="B122" s="280"/>
      <c r="C122" s="284"/>
      <c r="D122" s="288" t="s">
        <v>79</v>
      </c>
      <c r="E122" s="280"/>
      <c r="F122" s="283">
        <v>36.18</v>
      </c>
      <c r="G122" s="286" t="s">
        <v>60</v>
      </c>
      <c r="H122" s="286"/>
      <c r="I122" s="286" t="s">
        <v>60</v>
      </c>
      <c r="J122" s="316">
        <v>0.02</v>
      </c>
      <c r="K122" s="286" t="s">
        <v>60</v>
      </c>
      <c r="L122" s="303">
        <v>1.2</v>
      </c>
      <c r="M122" s="286" t="s">
        <v>60</v>
      </c>
      <c r="N122" s="304">
        <v>1</v>
      </c>
      <c r="O122" s="286" t="s">
        <v>61</v>
      </c>
      <c r="P122" s="302">
        <f>PRODUCT(F122:N122)</f>
        <v>0.86832</v>
      </c>
    </row>
    <row r="123" ht="15.75" spans="1:16">
      <c r="A123" s="280"/>
      <c r="B123" s="280"/>
      <c r="C123" s="284"/>
      <c r="D123" s="288" t="s">
        <v>80</v>
      </c>
      <c r="E123" s="280"/>
      <c r="F123" s="283">
        <v>19.07</v>
      </c>
      <c r="G123" s="286" t="s">
        <v>60</v>
      </c>
      <c r="H123" s="286"/>
      <c r="I123" s="286" t="s">
        <v>60</v>
      </c>
      <c r="J123" s="316">
        <v>0.02</v>
      </c>
      <c r="K123" s="286" t="s">
        <v>60</v>
      </c>
      <c r="L123" s="303">
        <v>1.2</v>
      </c>
      <c r="M123" s="286" t="s">
        <v>60</v>
      </c>
      <c r="N123" s="304">
        <v>1</v>
      </c>
      <c r="O123" s="286" t="s">
        <v>61</v>
      </c>
      <c r="P123" s="302">
        <f>PRODUCT(F123:N123)</f>
        <v>0.45768</v>
      </c>
    </row>
    <row r="124" ht="15.75" spans="1:16">
      <c r="A124" s="280"/>
      <c r="B124" s="280"/>
      <c r="C124" s="284"/>
      <c r="D124" s="288" t="s">
        <v>81</v>
      </c>
      <c r="E124" s="280"/>
      <c r="F124" s="283">
        <f>151.04+210.96+1.75+2.61</f>
        <v>366.36</v>
      </c>
      <c r="G124" s="286" t="s">
        <v>60</v>
      </c>
      <c r="H124" s="286"/>
      <c r="I124" s="286" t="s">
        <v>60</v>
      </c>
      <c r="J124" s="316">
        <v>0.02</v>
      </c>
      <c r="K124" s="286" t="s">
        <v>60</v>
      </c>
      <c r="L124" s="303">
        <v>1.2</v>
      </c>
      <c r="M124" s="286" t="s">
        <v>60</v>
      </c>
      <c r="N124" s="304">
        <v>0.8</v>
      </c>
      <c r="O124" s="286" t="s">
        <v>61</v>
      </c>
      <c r="P124" s="302">
        <f>PRODUCT(F124:N124)</f>
        <v>7.034112</v>
      </c>
    </row>
    <row r="125" ht="15.75" spans="1:16">
      <c r="A125" s="280"/>
      <c r="B125" s="280"/>
      <c r="C125" s="284"/>
      <c r="D125" s="288"/>
      <c r="E125" s="280"/>
      <c r="F125" s="283"/>
      <c r="G125" s="286"/>
      <c r="H125" s="315"/>
      <c r="I125" s="286"/>
      <c r="J125" s="286"/>
      <c r="K125" s="286"/>
      <c r="L125" s="286"/>
      <c r="M125" s="286"/>
      <c r="N125" s="286"/>
      <c r="O125" s="286"/>
      <c r="P125" s="302"/>
    </row>
    <row r="126" ht="15.75" spans="1:16">
      <c r="A126" s="280"/>
      <c r="B126" s="280"/>
      <c r="C126" s="284"/>
      <c r="D126" s="282" t="str">
        <f>COMPOSIÇÕES!A300</f>
        <v>REMOÇÃO DE MASSA LATÉX</v>
      </c>
      <c r="E126" s="280" t="s">
        <v>84</v>
      </c>
      <c r="F126" s="283"/>
      <c r="G126" s="283"/>
      <c r="H126" s="283"/>
      <c r="I126" s="283"/>
      <c r="J126" s="300" t="s">
        <v>121</v>
      </c>
      <c r="K126" s="283"/>
      <c r="L126" s="300" t="s">
        <v>120</v>
      </c>
      <c r="M126" s="283"/>
      <c r="N126" s="300"/>
      <c r="O126" s="283"/>
      <c r="P126" s="301"/>
    </row>
    <row r="127" ht="15.75" spans="1:16">
      <c r="A127" s="280"/>
      <c r="B127" s="280"/>
      <c r="C127" s="284"/>
      <c r="D127" s="291"/>
      <c r="E127" s="269"/>
      <c r="F127" s="283"/>
      <c r="G127" s="283"/>
      <c r="H127" s="283"/>
      <c r="I127" s="283"/>
      <c r="J127" s="300"/>
      <c r="K127" s="283"/>
      <c r="L127" s="300"/>
      <c r="M127" s="283"/>
      <c r="N127" s="300"/>
      <c r="O127" s="283"/>
      <c r="P127" s="301"/>
    </row>
    <row r="128" ht="15.75" spans="1:16">
      <c r="A128" s="280"/>
      <c r="B128" s="280"/>
      <c r="C128" s="284"/>
      <c r="D128" s="288" t="s">
        <v>77</v>
      </c>
      <c r="E128" s="269"/>
      <c r="F128" s="283">
        <f>F34</f>
        <v>365.19</v>
      </c>
      <c r="G128" s="285" t="s">
        <v>60</v>
      </c>
      <c r="H128" s="285"/>
      <c r="I128" s="285" t="s">
        <v>60</v>
      </c>
      <c r="J128" s="316">
        <v>0.005</v>
      </c>
      <c r="K128" s="317" t="s">
        <v>60</v>
      </c>
      <c r="L128" s="316">
        <v>1.2</v>
      </c>
      <c r="M128" s="285" t="s">
        <v>60</v>
      </c>
      <c r="N128" s="305">
        <v>0.4</v>
      </c>
      <c r="O128" s="283"/>
      <c r="P128" s="302">
        <f>PRODUCT(F128:N128)</f>
        <v>0.876456</v>
      </c>
    </row>
    <row r="129" ht="15.75" spans="1:16">
      <c r="A129" s="280"/>
      <c r="B129" s="280"/>
      <c r="C129" s="284"/>
      <c r="D129" s="288" t="s">
        <v>81</v>
      </c>
      <c r="E129" s="280"/>
      <c r="F129" s="283">
        <f>151.04+210.96+1.75+2.61</f>
        <v>366.36</v>
      </c>
      <c r="G129" s="286" t="s">
        <v>60</v>
      </c>
      <c r="H129" s="286"/>
      <c r="I129" s="286" t="s">
        <v>60</v>
      </c>
      <c r="J129" s="316">
        <v>0.005</v>
      </c>
      <c r="K129" s="317" t="s">
        <v>60</v>
      </c>
      <c r="L129" s="316">
        <v>1.2</v>
      </c>
      <c r="M129" s="286" t="s">
        <v>60</v>
      </c>
      <c r="N129" s="306">
        <v>0.2</v>
      </c>
      <c r="O129" s="286" t="s">
        <v>61</v>
      </c>
      <c r="P129" s="302">
        <f>PRODUCT(F129:N129)</f>
        <v>0.439632</v>
      </c>
    </row>
    <row r="130" ht="15.75" spans="1:16">
      <c r="A130" s="280"/>
      <c r="B130" s="280"/>
      <c r="C130" s="284"/>
      <c r="D130" s="288"/>
      <c r="E130" s="280"/>
      <c r="F130" s="283"/>
      <c r="G130" s="286"/>
      <c r="H130" s="315"/>
      <c r="I130" s="286"/>
      <c r="J130" s="286"/>
      <c r="K130" s="286"/>
      <c r="L130" s="286"/>
      <c r="M130" s="286"/>
      <c r="N130" s="286"/>
      <c r="O130" s="286"/>
      <c r="P130" s="302"/>
    </row>
    <row r="131" ht="31.5" spans="1:16">
      <c r="A131" s="280"/>
      <c r="B131" s="280"/>
      <c r="C131" s="284"/>
      <c r="D131" s="282" t="str">
        <f>COMPOSIÇÕES!A43</f>
        <v>DEMOLIÇÃO MANUAL DE CONCRETO SIMPLES (ALGEROZES DO SETOR CENTRAL)</v>
      </c>
      <c r="E131" s="280" t="s">
        <v>84</v>
      </c>
      <c r="F131" s="283"/>
      <c r="G131" s="283"/>
      <c r="H131" s="283"/>
      <c r="I131" s="283"/>
      <c r="J131" s="300"/>
      <c r="K131" s="283"/>
      <c r="L131" s="300"/>
      <c r="M131" s="283"/>
      <c r="N131" s="300"/>
      <c r="O131" s="283"/>
      <c r="P131" s="301"/>
    </row>
    <row r="132" ht="15.75" spans="1:16">
      <c r="A132" s="280"/>
      <c r="B132" s="280"/>
      <c r="C132" s="284"/>
      <c r="D132" s="282"/>
      <c r="E132" s="280"/>
      <c r="F132" s="283"/>
      <c r="G132" s="283"/>
      <c r="H132" s="283"/>
      <c r="I132" s="283"/>
      <c r="J132" s="300"/>
      <c r="K132" s="283"/>
      <c r="L132" s="300" t="s">
        <v>120</v>
      </c>
      <c r="M132" s="283"/>
      <c r="N132" s="300"/>
      <c r="O132" s="283"/>
      <c r="P132" s="301"/>
    </row>
    <row r="133" ht="31.5" spans="1:16">
      <c r="A133" s="280"/>
      <c r="B133" s="280"/>
      <c r="C133" s="284"/>
      <c r="D133" s="288" t="s">
        <v>85</v>
      </c>
      <c r="E133" s="280"/>
      <c r="F133" s="283">
        <f>12.85+12.85</f>
        <v>25.7</v>
      </c>
      <c r="G133" s="286" t="s">
        <v>60</v>
      </c>
      <c r="H133" s="286">
        <v>0.3</v>
      </c>
      <c r="I133" s="286" t="s">
        <v>60</v>
      </c>
      <c r="J133" s="286">
        <v>0.1</v>
      </c>
      <c r="K133" s="286" t="s">
        <v>60</v>
      </c>
      <c r="L133" s="286">
        <v>1.2</v>
      </c>
      <c r="M133" s="286" t="s">
        <v>60</v>
      </c>
      <c r="N133" s="286"/>
      <c r="O133" s="286" t="s">
        <v>61</v>
      </c>
      <c r="P133" s="302">
        <f>PRODUCT(F133:N133)</f>
        <v>0.9252</v>
      </c>
    </row>
    <row r="134" ht="15.75" spans="1:16">
      <c r="A134" s="280"/>
      <c r="B134" s="280"/>
      <c r="C134" s="284"/>
      <c r="D134" s="288" t="s">
        <v>86</v>
      </c>
      <c r="E134" s="280"/>
      <c r="F134" s="283">
        <f>3.55+3.55+3.9+3.9</f>
        <v>14.9</v>
      </c>
      <c r="G134" s="286" t="s">
        <v>60</v>
      </c>
      <c r="H134" s="286">
        <v>0.3</v>
      </c>
      <c r="I134" s="286" t="s">
        <v>60</v>
      </c>
      <c r="J134" s="286">
        <v>0.1</v>
      </c>
      <c r="K134" s="286" t="s">
        <v>60</v>
      </c>
      <c r="L134" s="286">
        <v>1.2</v>
      </c>
      <c r="M134" s="286" t="s">
        <v>60</v>
      </c>
      <c r="N134" s="286"/>
      <c r="O134" s="286" t="s">
        <v>61</v>
      </c>
      <c r="P134" s="302">
        <f>PRODUCT(F134:N134)</f>
        <v>0.5364</v>
      </c>
    </row>
    <row r="135" ht="15.75" spans="1:16">
      <c r="A135" s="280"/>
      <c r="B135" s="280"/>
      <c r="C135" s="284"/>
      <c r="D135" s="288" t="s">
        <v>87</v>
      </c>
      <c r="E135" s="280"/>
      <c r="F135" s="283">
        <f>5.69+5.69+3.45+3.45</f>
        <v>18.28</v>
      </c>
      <c r="G135" s="286" t="s">
        <v>60</v>
      </c>
      <c r="H135" s="286">
        <v>0.3</v>
      </c>
      <c r="I135" s="286" t="s">
        <v>60</v>
      </c>
      <c r="J135" s="286">
        <v>0.1</v>
      </c>
      <c r="K135" s="286" t="s">
        <v>60</v>
      </c>
      <c r="L135" s="286">
        <v>1.2</v>
      </c>
      <c r="M135" s="286" t="s">
        <v>60</v>
      </c>
      <c r="N135" s="286"/>
      <c r="O135" s="286" t="s">
        <v>61</v>
      </c>
      <c r="P135" s="302">
        <f>PRODUCT(F135:N135)</f>
        <v>0.65808</v>
      </c>
    </row>
    <row r="136" ht="31.5" spans="1:16">
      <c r="A136" s="280"/>
      <c r="B136" s="280"/>
      <c r="C136" s="284"/>
      <c r="D136" s="288" t="s">
        <v>88</v>
      </c>
      <c r="E136" s="280"/>
      <c r="F136" s="283">
        <f>12.8+12.8</f>
        <v>25.6</v>
      </c>
      <c r="G136" s="286" t="s">
        <v>60</v>
      </c>
      <c r="H136" s="286">
        <v>0.3</v>
      </c>
      <c r="I136" s="286" t="s">
        <v>60</v>
      </c>
      <c r="J136" s="286">
        <v>0.1</v>
      </c>
      <c r="K136" s="286" t="s">
        <v>60</v>
      </c>
      <c r="L136" s="286">
        <v>1.2</v>
      </c>
      <c r="M136" s="286" t="s">
        <v>60</v>
      </c>
      <c r="N136" s="286"/>
      <c r="O136" s="286" t="s">
        <v>61</v>
      </c>
      <c r="P136" s="302">
        <f>PRODUCT(F136:N136)</f>
        <v>0.9216</v>
      </c>
    </row>
    <row r="137" ht="15.75" spans="1:16">
      <c r="A137" s="280"/>
      <c r="B137" s="280"/>
      <c r="C137" s="284"/>
      <c r="D137" s="288" t="s">
        <v>89</v>
      </c>
      <c r="E137" s="280"/>
      <c r="F137" s="283">
        <f>3.22+3.22+1.1+1.1</f>
        <v>8.64</v>
      </c>
      <c r="G137" s="286" t="s">
        <v>60</v>
      </c>
      <c r="H137" s="286">
        <v>0.3</v>
      </c>
      <c r="I137" s="286" t="s">
        <v>60</v>
      </c>
      <c r="J137" s="286">
        <v>0.1</v>
      </c>
      <c r="K137" s="286" t="s">
        <v>60</v>
      </c>
      <c r="L137" s="286">
        <v>1.2</v>
      </c>
      <c r="M137" s="286" t="s">
        <v>60</v>
      </c>
      <c r="N137" s="286"/>
      <c r="O137" s="286" t="s">
        <v>61</v>
      </c>
      <c r="P137" s="302">
        <f>PRODUCT(F137:N137)</f>
        <v>0.31104</v>
      </c>
    </row>
    <row r="138" ht="15.75" spans="1:16">
      <c r="A138" s="280"/>
      <c r="B138" s="280"/>
      <c r="C138" s="284"/>
      <c r="D138" s="288"/>
      <c r="E138" s="280"/>
      <c r="F138" s="283"/>
      <c r="G138" s="286"/>
      <c r="H138" s="315"/>
      <c r="I138" s="286"/>
      <c r="J138" s="286"/>
      <c r="K138" s="286"/>
      <c r="L138" s="286"/>
      <c r="M138" s="286"/>
      <c r="N138" s="286"/>
      <c r="O138" s="286"/>
      <c r="P138" s="302"/>
    </row>
    <row r="139" ht="31.5" spans="1:16">
      <c r="A139" s="280"/>
      <c r="B139" s="280"/>
      <c r="C139" s="284"/>
      <c r="D139" s="282" t="s">
        <v>91</v>
      </c>
      <c r="E139" s="280" t="s">
        <v>84</v>
      </c>
      <c r="F139" s="283"/>
      <c r="G139" s="283"/>
      <c r="H139" s="283"/>
      <c r="I139" s="283"/>
      <c r="J139" s="300" t="s">
        <v>121</v>
      </c>
      <c r="K139" s="283"/>
      <c r="L139" s="300" t="s">
        <v>120</v>
      </c>
      <c r="M139" s="283"/>
      <c r="N139" s="300"/>
      <c r="O139" s="283"/>
      <c r="P139" s="301"/>
    </row>
    <row r="140" ht="15.75" spans="1:16">
      <c r="A140" s="280"/>
      <c r="B140" s="280"/>
      <c r="C140" s="284"/>
      <c r="D140" s="282"/>
      <c r="E140" s="280"/>
      <c r="F140" s="283"/>
      <c r="G140" s="283"/>
      <c r="H140" s="283"/>
      <c r="I140" s="283"/>
      <c r="J140" s="300"/>
      <c r="K140" s="283"/>
      <c r="L140" s="300"/>
      <c r="M140" s="283"/>
      <c r="N140" s="300"/>
      <c r="O140" s="283"/>
      <c r="P140" s="301"/>
    </row>
    <row r="141" ht="15.75" spans="1:16">
      <c r="A141" s="280"/>
      <c r="B141" s="280"/>
      <c r="C141" s="284"/>
      <c r="D141" s="288" t="s">
        <v>92</v>
      </c>
      <c r="E141" s="280"/>
      <c r="F141" s="283">
        <v>0.6</v>
      </c>
      <c r="G141" s="286" t="s">
        <v>60</v>
      </c>
      <c r="H141" s="286">
        <v>2.1</v>
      </c>
      <c r="I141" s="286" t="s">
        <v>60</v>
      </c>
      <c r="J141" s="286">
        <v>0.05</v>
      </c>
      <c r="K141" s="286" t="s">
        <v>60</v>
      </c>
      <c r="L141" s="286">
        <v>1.2</v>
      </c>
      <c r="M141" s="286" t="s">
        <v>60</v>
      </c>
      <c r="N141" s="286">
        <v>2</v>
      </c>
      <c r="O141" s="286" t="s">
        <v>61</v>
      </c>
      <c r="P141" s="302">
        <f>PRODUCT(F141:N141)</f>
        <v>0.1512</v>
      </c>
    </row>
    <row r="142" ht="15.75" spans="1:16">
      <c r="A142" s="280"/>
      <c r="B142" s="280"/>
      <c r="C142" s="284"/>
      <c r="D142" s="288" t="s">
        <v>93</v>
      </c>
      <c r="E142" s="280"/>
      <c r="F142" s="283">
        <v>0.8</v>
      </c>
      <c r="G142" s="286" t="s">
        <v>60</v>
      </c>
      <c r="H142" s="286">
        <v>2.1</v>
      </c>
      <c r="I142" s="286" t="s">
        <v>60</v>
      </c>
      <c r="J142" s="286">
        <v>0.05</v>
      </c>
      <c r="K142" s="286" t="s">
        <v>60</v>
      </c>
      <c r="L142" s="286">
        <v>1.2</v>
      </c>
      <c r="M142" s="286" t="s">
        <v>60</v>
      </c>
      <c r="N142" s="286">
        <v>1</v>
      </c>
      <c r="O142" s="286" t="s">
        <v>61</v>
      </c>
      <c r="P142" s="302">
        <f>PRODUCT(F142:N142)</f>
        <v>0.1008</v>
      </c>
    </row>
    <row r="143" ht="15.75" spans="1:16">
      <c r="A143" s="280"/>
      <c r="B143" s="280"/>
      <c r="C143" s="284"/>
      <c r="D143" s="288"/>
      <c r="E143" s="280"/>
      <c r="F143" s="283"/>
      <c r="G143" s="286"/>
      <c r="H143" s="315"/>
      <c r="I143" s="286"/>
      <c r="J143" s="286"/>
      <c r="K143" s="286"/>
      <c r="L143" s="286"/>
      <c r="M143" s="286"/>
      <c r="N143" s="286"/>
      <c r="O143" s="286"/>
      <c r="P143" s="302"/>
    </row>
    <row r="144" ht="63" spans="1:16">
      <c r="A144" s="280"/>
      <c r="B144" s="280"/>
      <c r="C144" s="284"/>
      <c r="D144" s="282" t="s">
        <v>95</v>
      </c>
      <c r="E144" s="280" t="s">
        <v>84</v>
      </c>
      <c r="F144" s="283"/>
      <c r="G144" s="283"/>
      <c r="H144" s="283"/>
      <c r="I144" s="283"/>
      <c r="J144" s="300" t="s">
        <v>121</v>
      </c>
      <c r="K144" s="283"/>
      <c r="L144" s="300" t="s">
        <v>120</v>
      </c>
      <c r="M144" s="283"/>
      <c r="N144" s="300"/>
      <c r="O144" s="283"/>
      <c r="P144" s="301"/>
    </row>
    <row r="145" ht="15.75" spans="1:16">
      <c r="A145" s="280"/>
      <c r="B145" s="280"/>
      <c r="C145" s="284"/>
      <c r="D145" s="282"/>
      <c r="E145" s="280"/>
      <c r="F145" s="283"/>
      <c r="G145" s="283"/>
      <c r="H145" s="283"/>
      <c r="I145" s="283"/>
      <c r="J145" s="300"/>
      <c r="K145" s="283"/>
      <c r="L145" s="300"/>
      <c r="M145" s="283"/>
      <c r="N145" s="300"/>
      <c r="O145" s="283"/>
      <c r="P145" s="301"/>
    </row>
    <row r="146" ht="31.5" spans="1:16">
      <c r="A146" s="280"/>
      <c r="B146" s="280"/>
      <c r="C146" s="284"/>
      <c r="D146" s="288" t="s">
        <v>96</v>
      </c>
      <c r="E146" s="280"/>
      <c r="F146" s="283">
        <f>420.16-1.44</f>
        <v>418.72</v>
      </c>
      <c r="G146" s="286" t="s">
        <v>60</v>
      </c>
      <c r="H146" s="286"/>
      <c r="I146" s="286" t="s">
        <v>60</v>
      </c>
      <c r="J146" s="286">
        <v>0.1</v>
      </c>
      <c r="K146" s="286" t="s">
        <v>60</v>
      </c>
      <c r="L146" s="286">
        <v>1.2</v>
      </c>
      <c r="M146" s="286" t="s">
        <v>60</v>
      </c>
      <c r="N146" s="286"/>
      <c r="O146" s="286" t="s">
        <v>61</v>
      </c>
      <c r="P146" s="302">
        <f>PRODUCT(F146:N146)</f>
        <v>50.2464</v>
      </c>
    </row>
    <row r="147" ht="31.5" spans="1:16">
      <c r="A147" s="280"/>
      <c r="B147" s="280"/>
      <c r="C147" s="284"/>
      <c r="D147" s="288" t="s">
        <v>97</v>
      </c>
      <c r="E147" s="280"/>
      <c r="F147" s="283">
        <f>24.75+33.99+26.68+40.96</f>
        <v>126.38</v>
      </c>
      <c r="G147" s="286" t="s">
        <v>60</v>
      </c>
      <c r="H147" s="286"/>
      <c r="I147" s="286" t="s">
        <v>60</v>
      </c>
      <c r="J147" s="286">
        <v>0.1</v>
      </c>
      <c r="K147" s="286" t="s">
        <v>60</v>
      </c>
      <c r="L147" s="286">
        <v>1.2</v>
      </c>
      <c r="M147" s="286" t="s">
        <v>60</v>
      </c>
      <c r="N147" s="286"/>
      <c r="O147" s="286" t="s">
        <v>61</v>
      </c>
      <c r="P147" s="302">
        <f>PRODUCT(F147:N147)</f>
        <v>15.1656</v>
      </c>
    </row>
    <row r="148" ht="31.5" spans="1:16">
      <c r="A148" s="280"/>
      <c r="B148" s="280"/>
      <c r="C148" s="284"/>
      <c r="D148" s="288" t="s">
        <v>98</v>
      </c>
      <c r="E148" s="280"/>
      <c r="F148" s="283">
        <f>421.81-11.5</f>
        <v>410.31</v>
      </c>
      <c r="G148" s="286" t="s">
        <v>60</v>
      </c>
      <c r="H148" s="286"/>
      <c r="I148" s="286" t="s">
        <v>60</v>
      </c>
      <c r="J148" s="286">
        <v>0.1</v>
      </c>
      <c r="K148" s="286" t="s">
        <v>60</v>
      </c>
      <c r="L148" s="286">
        <v>1.2</v>
      </c>
      <c r="M148" s="286" t="s">
        <v>60</v>
      </c>
      <c r="N148" s="286"/>
      <c r="O148" s="286" t="s">
        <v>61</v>
      </c>
      <c r="P148" s="302">
        <f>PRODUCT(F148:N148)</f>
        <v>49.2372</v>
      </c>
    </row>
    <row r="149" ht="15.75" spans="1:16">
      <c r="A149" s="280"/>
      <c r="B149" s="280"/>
      <c r="C149" s="284"/>
      <c r="D149" s="288"/>
      <c r="E149" s="280"/>
      <c r="F149" s="283"/>
      <c r="G149" s="286"/>
      <c r="H149" s="315"/>
      <c r="I149" s="286"/>
      <c r="J149" s="286"/>
      <c r="K149" s="286" t="s">
        <v>60</v>
      </c>
      <c r="L149" s="286"/>
      <c r="M149" s="286"/>
      <c r="N149" s="286"/>
      <c r="O149" s="286"/>
      <c r="P149" s="302"/>
    </row>
    <row r="150" ht="47.25" spans="1:16">
      <c r="A150" s="280"/>
      <c r="B150" s="280"/>
      <c r="C150" s="284"/>
      <c r="D150" s="282" t="str">
        <f>COMPOSIÇÕES!A57</f>
        <v>REMOÇÃO DE TRAMA DE MADEIRA PARA COBERTURA, DE FORMA MANUAL, SEM REAPROVEITAMENTO. AF_12/2017</v>
      </c>
      <c r="E150" s="280" t="s">
        <v>84</v>
      </c>
      <c r="F150" s="283"/>
      <c r="G150" s="283"/>
      <c r="H150" s="283"/>
      <c r="I150" s="283"/>
      <c r="J150" s="300" t="s">
        <v>121</v>
      </c>
      <c r="K150" s="283"/>
      <c r="L150" s="300" t="s">
        <v>120</v>
      </c>
      <c r="M150" s="283"/>
      <c r="N150" s="300"/>
      <c r="O150" s="283"/>
      <c r="P150" s="301"/>
    </row>
    <row r="151" ht="15.75" spans="1:16">
      <c r="A151" s="280"/>
      <c r="B151" s="280"/>
      <c r="C151" s="284"/>
      <c r="D151" s="282"/>
      <c r="E151" s="280"/>
      <c r="F151" s="283"/>
      <c r="G151" s="283"/>
      <c r="H151" s="283"/>
      <c r="I151" s="283"/>
      <c r="J151" s="300"/>
      <c r="K151" s="283"/>
      <c r="L151" s="300"/>
      <c r="M151" s="283"/>
      <c r="N151" s="300"/>
      <c r="O151" s="283"/>
      <c r="P151" s="301"/>
    </row>
    <row r="152" ht="31.5" spans="1:16">
      <c r="A152" s="280"/>
      <c r="B152" s="280"/>
      <c r="C152" s="284"/>
      <c r="D152" s="288" t="s">
        <v>96</v>
      </c>
      <c r="E152" s="280"/>
      <c r="F152" s="283">
        <f>420.16-1.44</f>
        <v>418.72</v>
      </c>
      <c r="G152" s="286" t="s">
        <v>60</v>
      </c>
      <c r="H152" s="286"/>
      <c r="I152" s="286" t="s">
        <v>60</v>
      </c>
      <c r="J152" s="286">
        <v>0.2</v>
      </c>
      <c r="K152" s="286" t="s">
        <v>60</v>
      </c>
      <c r="L152" s="286">
        <v>1.2</v>
      </c>
      <c r="M152" s="286" t="s">
        <v>60</v>
      </c>
      <c r="N152" s="286"/>
      <c r="O152" s="286" t="s">
        <v>61</v>
      </c>
      <c r="P152" s="302">
        <f>PRODUCT(F152:N152)</f>
        <v>100.4928</v>
      </c>
    </row>
    <row r="153" ht="31.5" spans="1:16">
      <c r="A153" s="280"/>
      <c r="B153" s="280"/>
      <c r="C153" s="284"/>
      <c r="D153" s="288" t="s">
        <v>97</v>
      </c>
      <c r="E153" s="280"/>
      <c r="F153" s="283">
        <f>24.75+33.99+26.68+40.96</f>
        <v>126.38</v>
      </c>
      <c r="G153" s="286" t="s">
        <v>60</v>
      </c>
      <c r="H153" s="286"/>
      <c r="I153" s="286" t="s">
        <v>60</v>
      </c>
      <c r="J153" s="286">
        <v>0.2</v>
      </c>
      <c r="K153" s="286" t="s">
        <v>60</v>
      </c>
      <c r="L153" s="286">
        <v>1.2</v>
      </c>
      <c r="M153" s="286" t="s">
        <v>60</v>
      </c>
      <c r="N153" s="286"/>
      <c r="O153" s="286" t="s">
        <v>61</v>
      </c>
      <c r="P153" s="302">
        <f>PRODUCT(F153:N153)</f>
        <v>30.3312</v>
      </c>
    </row>
    <row r="154" ht="31.5" spans="1:16">
      <c r="A154" s="280"/>
      <c r="B154" s="280"/>
      <c r="C154" s="284"/>
      <c r="D154" s="288" t="s">
        <v>98</v>
      </c>
      <c r="E154" s="280"/>
      <c r="F154" s="283">
        <f>421.81-11.5</f>
        <v>410.31</v>
      </c>
      <c r="G154" s="286" t="s">
        <v>60</v>
      </c>
      <c r="H154" s="286"/>
      <c r="I154" s="286" t="s">
        <v>60</v>
      </c>
      <c r="J154" s="286">
        <v>0.2</v>
      </c>
      <c r="K154" s="286" t="s">
        <v>60</v>
      </c>
      <c r="L154" s="286">
        <v>1.2</v>
      </c>
      <c r="M154" s="286" t="s">
        <v>60</v>
      </c>
      <c r="N154" s="286"/>
      <c r="O154" s="286" t="s">
        <v>61</v>
      </c>
      <c r="P154" s="302">
        <f>PRODUCT(F154:N154)</f>
        <v>98.4744</v>
      </c>
    </row>
    <row r="155" ht="15.75" spans="1:16">
      <c r="A155" s="280"/>
      <c r="B155" s="280"/>
      <c r="C155" s="284"/>
      <c r="D155" s="288"/>
      <c r="E155" s="280"/>
      <c r="F155" s="283"/>
      <c r="G155" s="286"/>
      <c r="H155" s="315"/>
      <c r="I155" s="286"/>
      <c r="J155" s="286"/>
      <c r="K155" s="286"/>
      <c r="L155" s="286"/>
      <c r="M155" s="286"/>
      <c r="N155" s="286"/>
      <c r="O155" s="286"/>
      <c r="P155" s="302"/>
    </row>
    <row r="156" ht="31.5" spans="1:16">
      <c r="A156" s="280"/>
      <c r="B156" s="280"/>
      <c r="C156" s="284"/>
      <c r="D156" s="282" t="s">
        <v>101</v>
      </c>
      <c r="E156" s="280" t="s">
        <v>84</v>
      </c>
      <c r="F156" s="283"/>
      <c r="G156" s="283"/>
      <c r="H156" s="283"/>
      <c r="I156" s="283"/>
      <c r="J156" s="300"/>
      <c r="K156" s="283"/>
      <c r="L156" s="300"/>
      <c r="M156" s="283"/>
      <c r="N156" s="300"/>
      <c r="O156" s="283"/>
      <c r="P156" s="301"/>
    </row>
    <row r="157" ht="15.75" spans="1:16">
      <c r="A157" s="280"/>
      <c r="B157" s="280"/>
      <c r="C157" s="284"/>
      <c r="D157" s="282"/>
      <c r="E157" s="280"/>
      <c r="F157" s="283"/>
      <c r="G157" s="283"/>
      <c r="H157" s="283"/>
      <c r="I157" s="283"/>
      <c r="J157" s="300"/>
      <c r="K157" s="283"/>
      <c r="L157" s="300"/>
      <c r="M157" s="283"/>
      <c r="N157" s="300"/>
      <c r="O157" s="283"/>
      <c r="P157" s="301"/>
    </row>
    <row r="158" ht="31.5" spans="1:16">
      <c r="A158" s="280"/>
      <c r="B158" s="280"/>
      <c r="C158" s="284"/>
      <c r="D158" s="288" t="s">
        <v>103</v>
      </c>
      <c r="E158" s="280"/>
      <c r="F158" s="314">
        <f>PI()*(0.1/2)^2</f>
        <v>0.00785398163397448</v>
      </c>
      <c r="G158" s="286" t="s">
        <v>60</v>
      </c>
      <c r="H158" s="286">
        <v>0.2</v>
      </c>
      <c r="I158" s="286" t="s">
        <v>60</v>
      </c>
      <c r="J158" s="286"/>
      <c r="K158" s="286" t="s">
        <v>60</v>
      </c>
      <c r="L158" s="286"/>
      <c r="M158" s="286" t="s">
        <v>60</v>
      </c>
      <c r="N158" s="286"/>
      <c r="O158" s="286" t="s">
        <v>61</v>
      </c>
      <c r="P158" s="303">
        <f>PRODUCT(F158:N158)</f>
        <v>0.0015707963267949</v>
      </c>
    </row>
    <row r="159" ht="31.5" spans="1:16">
      <c r="A159" s="280"/>
      <c r="B159" s="280"/>
      <c r="C159" s="284"/>
      <c r="D159" s="288" t="s">
        <v>104</v>
      </c>
      <c r="E159" s="280"/>
      <c r="F159" s="314">
        <f>PI()*(0.08/2)^2</f>
        <v>0.00502654824574367</v>
      </c>
      <c r="G159" s="286" t="s">
        <v>60</v>
      </c>
      <c r="H159" s="286">
        <v>0.2</v>
      </c>
      <c r="I159" s="286" t="s">
        <v>60</v>
      </c>
      <c r="J159" s="286"/>
      <c r="K159" s="286" t="s">
        <v>60</v>
      </c>
      <c r="L159" s="286"/>
      <c r="M159" s="286" t="s">
        <v>60</v>
      </c>
      <c r="N159" s="286"/>
      <c r="O159" s="286" t="s">
        <v>61</v>
      </c>
      <c r="P159" s="303">
        <f t="shared" ref="P159:P160" si="4">PRODUCT(F159:N159)</f>
        <v>0.00100530964914873</v>
      </c>
    </row>
    <row r="160" ht="31.5" spans="1:16">
      <c r="A160" s="280"/>
      <c r="B160" s="280"/>
      <c r="C160" s="284"/>
      <c r="D160" s="288" t="s">
        <v>105</v>
      </c>
      <c r="E160" s="280"/>
      <c r="F160" s="314">
        <f>PI()*(0.07/2)^2</f>
        <v>0.0038484510006475</v>
      </c>
      <c r="G160" s="286" t="s">
        <v>60</v>
      </c>
      <c r="H160" s="286">
        <v>0.2</v>
      </c>
      <c r="I160" s="286" t="s">
        <v>60</v>
      </c>
      <c r="J160" s="286"/>
      <c r="K160" s="286" t="s">
        <v>60</v>
      </c>
      <c r="L160" s="286"/>
      <c r="M160" s="286" t="s">
        <v>60</v>
      </c>
      <c r="N160" s="286"/>
      <c r="O160" s="286" t="s">
        <v>61</v>
      </c>
      <c r="P160" s="303">
        <f t="shared" si="4"/>
        <v>0.000769690200129499</v>
      </c>
    </row>
    <row r="161" ht="15.75" spans="1:16">
      <c r="A161" s="280"/>
      <c r="B161" s="280"/>
      <c r="C161" s="284"/>
      <c r="D161" s="288"/>
      <c r="E161" s="280"/>
      <c r="F161" s="283"/>
      <c r="G161" s="286"/>
      <c r="H161" s="315"/>
      <c r="I161" s="286"/>
      <c r="J161" s="286"/>
      <c r="K161" s="286"/>
      <c r="L161" s="286"/>
      <c r="M161" s="286"/>
      <c r="N161" s="286"/>
      <c r="O161" s="286"/>
      <c r="P161" s="302"/>
    </row>
    <row r="162" ht="15.75" spans="1:16">
      <c r="A162" s="280"/>
      <c r="B162" s="280"/>
      <c r="C162" s="284"/>
      <c r="D162" s="288"/>
      <c r="E162" s="280"/>
      <c r="F162" s="283"/>
      <c r="G162" s="286"/>
      <c r="H162" s="286"/>
      <c r="I162" s="286"/>
      <c r="J162" s="286"/>
      <c r="K162" s="286"/>
      <c r="L162" s="286"/>
      <c r="M162" s="286"/>
      <c r="N162" s="286"/>
      <c r="O162" s="286"/>
      <c r="P162" s="302"/>
    </row>
    <row r="163" ht="15.75" spans="1:16">
      <c r="A163" s="280"/>
      <c r="B163" s="280"/>
      <c r="C163" s="284"/>
      <c r="D163" s="285"/>
      <c r="E163" s="280"/>
      <c r="F163" s="283"/>
      <c r="G163" s="286"/>
      <c r="H163" s="286"/>
      <c r="I163" s="286"/>
      <c r="J163" s="286"/>
      <c r="K163" s="286"/>
      <c r="L163" s="286"/>
      <c r="M163" s="286"/>
      <c r="N163" s="300" t="s">
        <v>27</v>
      </c>
      <c r="O163" s="283" t="s">
        <v>61</v>
      </c>
      <c r="P163" s="300">
        <f>SUM(P113:P160)</f>
        <v>362.048088914756</v>
      </c>
    </row>
    <row r="164" ht="15.75" spans="1:16">
      <c r="A164" s="280"/>
      <c r="B164" s="280"/>
      <c r="C164" s="284"/>
      <c r="D164" s="285"/>
      <c r="E164" s="280"/>
      <c r="F164" s="283"/>
      <c r="G164" s="286"/>
      <c r="H164" s="286"/>
      <c r="I164" s="286"/>
      <c r="J164" s="286"/>
      <c r="K164" s="286"/>
      <c r="L164" s="286"/>
      <c r="M164" s="286"/>
      <c r="N164" s="300"/>
      <c r="O164" s="283"/>
      <c r="P164" s="301"/>
    </row>
    <row r="165" ht="63" spans="1:16">
      <c r="A165" s="280" t="s">
        <v>122</v>
      </c>
      <c r="B165" s="310" t="s">
        <v>57</v>
      </c>
      <c r="C165" s="281">
        <v>95876</v>
      </c>
      <c r="D165" s="282" t="s">
        <v>123</v>
      </c>
      <c r="E165" s="280" t="s">
        <v>124</v>
      </c>
      <c r="F165" s="283"/>
      <c r="G165" s="283"/>
      <c r="H165" s="283"/>
      <c r="I165" s="283"/>
      <c r="J165" s="300"/>
      <c r="K165" s="283"/>
      <c r="L165" s="300"/>
      <c r="M165" s="283"/>
      <c r="N165" s="300"/>
      <c r="O165" s="283"/>
      <c r="P165" s="301"/>
    </row>
    <row r="166" ht="15.75" spans="1:16">
      <c r="A166" s="280"/>
      <c r="B166" s="280"/>
      <c r="C166" s="284"/>
      <c r="D166" s="282"/>
      <c r="E166" s="280"/>
      <c r="F166" s="283"/>
      <c r="G166" s="283"/>
      <c r="H166" s="283"/>
      <c r="I166" s="283"/>
      <c r="J166" s="300"/>
      <c r="K166" s="283"/>
      <c r="L166" s="300"/>
      <c r="M166" s="283"/>
      <c r="N166" s="300"/>
      <c r="O166" s="283"/>
      <c r="P166" s="301"/>
    </row>
    <row r="167" ht="63" spans="1:16">
      <c r="A167" s="280"/>
      <c r="B167" s="280"/>
      <c r="C167" s="284"/>
      <c r="D167" s="282" t="s">
        <v>69</v>
      </c>
      <c r="E167" s="280" t="s">
        <v>84</v>
      </c>
      <c r="F167" s="283"/>
      <c r="G167" s="283"/>
      <c r="H167" s="283"/>
      <c r="I167" s="283"/>
      <c r="J167" s="300" t="s">
        <v>119</v>
      </c>
      <c r="K167" s="283"/>
      <c r="L167" s="300" t="s">
        <v>120</v>
      </c>
      <c r="M167" s="283"/>
      <c r="N167" s="300" t="s">
        <v>125</v>
      </c>
      <c r="O167" s="283"/>
      <c r="P167" s="301"/>
    </row>
    <row r="168" ht="15.75" spans="1:16">
      <c r="A168" s="280"/>
      <c r="B168" s="280"/>
      <c r="C168" s="284"/>
      <c r="D168" s="282"/>
      <c r="E168" s="280"/>
      <c r="F168" s="283"/>
      <c r="G168" s="283"/>
      <c r="H168" s="283"/>
      <c r="I168" s="283"/>
      <c r="J168" s="300"/>
      <c r="K168" s="283"/>
      <c r="L168" s="300"/>
      <c r="M168" s="283"/>
      <c r="N168" s="300"/>
      <c r="O168" s="283"/>
      <c r="P168" s="301"/>
    </row>
    <row r="169" ht="15.75" spans="1:16">
      <c r="A169" s="280"/>
      <c r="B169" s="280"/>
      <c r="C169" s="284"/>
      <c r="D169" s="288" t="s">
        <v>71</v>
      </c>
      <c r="E169" s="280"/>
      <c r="F169" s="283"/>
      <c r="G169" s="286"/>
      <c r="H169" s="286"/>
      <c r="I169" s="286"/>
      <c r="J169" s="286"/>
      <c r="K169" s="286"/>
      <c r="L169" s="286"/>
      <c r="M169" s="286"/>
      <c r="N169" s="286"/>
      <c r="O169" s="286"/>
      <c r="P169" s="302"/>
    </row>
    <row r="170" ht="15.75" spans="1:16">
      <c r="A170" s="280"/>
      <c r="B170" s="280"/>
      <c r="C170" s="284"/>
      <c r="D170" s="288" t="s">
        <v>72</v>
      </c>
      <c r="E170" s="280"/>
      <c r="F170" s="283">
        <v>38.28</v>
      </c>
      <c r="G170" s="286" t="s">
        <v>60</v>
      </c>
      <c r="H170" s="286">
        <v>3</v>
      </c>
      <c r="I170" s="286" t="s">
        <v>60</v>
      </c>
      <c r="J170" s="303">
        <f>PI()*(0.06/2)^2</f>
        <v>0.00282743338823081</v>
      </c>
      <c r="K170" s="286" t="s">
        <v>60</v>
      </c>
      <c r="L170" s="303">
        <v>1.2</v>
      </c>
      <c r="M170" s="286" t="s">
        <v>60</v>
      </c>
      <c r="N170" s="286">
        <v>4</v>
      </c>
      <c r="O170" s="286" t="s">
        <v>61</v>
      </c>
      <c r="P170" s="302">
        <f>PRODUCT(F170:N170)</f>
        <v>1.55857176146125</v>
      </c>
    </row>
    <row r="171" ht="15.75" spans="1:16">
      <c r="A171" s="280"/>
      <c r="B171" s="280"/>
      <c r="C171" s="284"/>
      <c r="D171" s="288" t="s">
        <v>73</v>
      </c>
      <c r="E171" s="280"/>
      <c r="F171" s="283">
        <v>37.72</v>
      </c>
      <c r="G171" s="286" t="s">
        <v>60</v>
      </c>
      <c r="H171" s="286">
        <v>2</v>
      </c>
      <c r="I171" s="286" t="s">
        <v>60</v>
      </c>
      <c r="J171" s="303">
        <f>PI()*(0.06/2)^2</f>
        <v>0.00282743338823081</v>
      </c>
      <c r="K171" s="286" t="s">
        <v>60</v>
      </c>
      <c r="L171" s="303">
        <v>1.2</v>
      </c>
      <c r="M171" s="286" t="s">
        <v>60</v>
      </c>
      <c r="N171" s="286">
        <v>4</v>
      </c>
      <c r="O171" s="286" t="s">
        <v>61</v>
      </c>
      <c r="P171" s="302">
        <f t="shared" ref="P171:P173" si="5">PRODUCT(F171:N171)</f>
        <v>1.02384755907904</v>
      </c>
    </row>
    <row r="172" ht="15.75" spans="1:16">
      <c r="A172" s="280"/>
      <c r="B172" s="280"/>
      <c r="C172" s="284"/>
      <c r="D172" s="288" t="s">
        <v>74</v>
      </c>
      <c r="E172" s="280"/>
      <c r="F172" s="283">
        <v>21.31</v>
      </c>
      <c r="G172" s="286" t="s">
        <v>60</v>
      </c>
      <c r="H172" s="286"/>
      <c r="I172" s="286" t="s">
        <v>60</v>
      </c>
      <c r="J172" s="303">
        <f>PI()*(0.06/2)^2</f>
        <v>0.00282743338823081</v>
      </c>
      <c r="K172" s="286" t="s">
        <v>60</v>
      </c>
      <c r="L172" s="303">
        <v>1.2</v>
      </c>
      <c r="M172" s="286" t="s">
        <v>60</v>
      </c>
      <c r="N172" s="286">
        <v>4</v>
      </c>
      <c r="O172" s="286" t="s">
        <v>61</v>
      </c>
      <c r="P172" s="302">
        <f t="shared" si="5"/>
        <v>0.289212506415353</v>
      </c>
    </row>
    <row r="173" ht="15.75" spans="1:16">
      <c r="A173" s="280"/>
      <c r="B173" s="280"/>
      <c r="C173" s="284"/>
      <c r="D173" s="288" t="s">
        <v>75</v>
      </c>
      <c r="E173" s="280"/>
      <c r="F173" s="283">
        <v>21.87</v>
      </c>
      <c r="G173" s="286" t="s">
        <v>60</v>
      </c>
      <c r="H173" s="286"/>
      <c r="I173" s="286" t="s">
        <v>60</v>
      </c>
      <c r="J173" s="303">
        <f>PI()*(0.06/2)^2</f>
        <v>0.00282743338823081</v>
      </c>
      <c r="K173" s="286" t="s">
        <v>60</v>
      </c>
      <c r="L173" s="303">
        <v>1.2</v>
      </c>
      <c r="M173" s="286" t="s">
        <v>60</v>
      </c>
      <c r="N173" s="286">
        <v>4</v>
      </c>
      <c r="O173" s="286" t="s">
        <v>61</v>
      </c>
      <c r="P173" s="302">
        <f t="shared" si="5"/>
        <v>0.296812647362918</v>
      </c>
    </row>
    <row r="174" ht="15.75" spans="1:16">
      <c r="A174" s="280"/>
      <c r="B174" s="280"/>
      <c r="C174" s="284"/>
      <c r="D174" s="288"/>
      <c r="E174" s="280"/>
      <c r="F174" s="283"/>
      <c r="G174" s="286"/>
      <c r="H174" s="315"/>
      <c r="I174" s="286"/>
      <c r="J174" s="286"/>
      <c r="K174" s="286"/>
      <c r="L174" s="286"/>
      <c r="M174" s="286"/>
      <c r="N174" s="286"/>
      <c r="O174" s="286"/>
      <c r="P174" s="302"/>
    </row>
    <row r="175" ht="15.75" spans="1:16">
      <c r="A175" s="280"/>
      <c r="B175" s="280"/>
      <c r="C175" s="284"/>
      <c r="D175" s="282" t="str">
        <f>COMPOSIÇÕES!A24</f>
        <v>DEMOLIÇÃO DE REBOCO ANTIGO</v>
      </c>
      <c r="E175" s="280" t="s">
        <v>84</v>
      </c>
      <c r="F175" s="283"/>
      <c r="G175" s="283"/>
      <c r="H175" s="283"/>
      <c r="I175" s="283"/>
      <c r="J175" s="300" t="s">
        <v>121</v>
      </c>
      <c r="K175" s="283"/>
      <c r="L175" s="300" t="s">
        <v>120</v>
      </c>
      <c r="M175" s="283"/>
      <c r="N175" s="300"/>
      <c r="O175" s="283"/>
      <c r="P175" s="301"/>
    </row>
    <row r="176" ht="15.75" spans="1:16">
      <c r="A176" s="280"/>
      <c r="B176" s="280"/>
      <c r="C176" s="284"/>
      <c r="D176" s="282"/>
      <c r="E176" s="280"/>
      <c r="F176" s="283"/>
      <c r="G176" s="283"/>
      <c r="H176" s="283"/>
      <c r="I176" s="283"/>
      <c r="J176" s="300"/>
      <c r="K176" s="283"/>
      <c r="L176" s="300"/>
      <c r="M176" s="283"/>
      <c r="N176" s="300"/>
      <c r="O176" s="283"/>
      <c r="P176" s="301"/>
    </row>
    <row r="177" ht="15.75" spans="1:16">
      <c r="A177" s="280"/>
      <c r="B177" s="280"/>
      <c r="C177" s="284"/>
      <c r="D177" s="288" t="s">
        <v>77</v>
      </c>
      <c r="E177" s="288"/>
      <c r="F177" s="283">
        <f>263.15+16.39+49.36+4.76+4.41+12.28+12.23+2.61</f>
        <v>365.19</v>
      </c>
      <c r="G177" s="285" t="s">
        <v>60</v>
      </c>
      <c r="H177" s="304">
        <v>0.2</v>
      </c>
      <c r="I177" s="285" t="s">
        <v>60</v>
      </c>
      <c r="J177" s="316">
        <v>0.02</v>
      </c>
      <c r="K177" s="285" t="s">
        <v>60</v>
      </c>
      <c r="L177" s="303">
        <v>1.2</v>
      </c>
      <c r="M177" s="285" t="s">
        <v>60</v>
      </c>
      <c r="N177" s="286">
        <v>4</v>
      </c>
      <c r="O177" s="288" t="s">
        <v>61</v>
      </c>
      <c r="P177" s="302">
        <f>PRODUCT(F177:N177)</f>
        <v>7.011648</v>
      </c>
    </row>
    <row r="178" ht="15.75" spans="1:16">
      <c r="A178" s="280"/>
      <c r="B178" s="280"/>
      <c r="C178" s="284"/>
      <c r="D178" s="288" t="s">
        <v>78</v>
      </c>
      <c r="E178" s="280"/>
      <c r="F178" s="283">
        <v>94.65</v>
      </c>
      <c r="G178" s="286" t="s">
        <v>60</v>
      </c>
      <c r="H178" s="304">
        <v>1</v>
      </c>
      <c r="I178" s="286" t="s">
        <v>60</v>
      </c>
      <c r="J178" s="316">
        <v>0.02</v>
      </c>
      <c r="K178" s="286" t="s">
        <v>60</v>
      </c>
      <c r="L178" s="303">
        <v>1.2</v>
      </c>
      <c r="M178" s="286" t="s">
        <v>60</v>
      </c>
      <c r="N178" s="286">
        <v>4</v>
      </c>
      <c r="O178" s="286" t="s">
        <v>61</v>
      </c>
      <c r="P178" s="302">
        <f>PRODUCT(F178:N178)</f>
        <v>9.0864</v>
      </c>
    </row>
    <row r="179" ht="15.75" spans="1:16">
      <c r="A179" s="280"/>
      <c r="B179" s="280"/>
      <c r="C179" s="284"/>
      <c r="D179" s="288" t="s">
        <v>79</v>
      </c>
      <c r="E179" s="280"/>
      <c r="F179" s="283">
        <v>36.18</v>
      </c>
      <c r="G179" s="286" t="s">
        <v>60</v>
      </c>
      <c r="H179" s="304">
        <v>1</v>
      </c>
      <c r="I179" s="286" t="s">
        <v>60</v>
      </c>
      <c r="J179" s="316">
        <v>0.02</v>
      </c>
      <c r="K179" s="286" t="s">
        <v>60</v>
      </c>
      <c r="L179" s="303">
        <v>1.2</v>
      </c>
      <c r="M179" s="286" t="s">
        <v>60</v>
      </c>
      <c r="N179" s="286">
        <v>4</v>
      </c>
      <c r="O179" s="286" t="s">
        <v>61</v>
      </c>
      <c r="P179" s="302">
        <f>PRODUCT(F179:N179)</f>
        <v>3.47328</v>
      </c>
    </row>
    <row r="180" ht="15.75" spans="1:16">
      <c r="A180" s="280"/>
      <c r="B180" s="280"/>
      <c r="C180" s="284"/>
      <c r="D180" s="288" t="s">
        <v>80</v>
      </c>
      <c r="E180" s="280"/>
      <c r="F180" s="283">
        <v>19.07</v>
      </c>
      <c r="G180" s="286" t="s">
        <v>60</v>
      </c>
      <c r="H180" s="304">
        <v>1</v>
      </c>
      <c r="I180" s="286" t="s">
        <v>60</v>
      </c>
      <c r="J180" s="316">
        <v>0.02</v>
      </c>
      <c r="K180" s="286" t="s">
        <v>60</v>
      </c>
      <c r="L180" s="303">
        <v>1.2</v>
      </c>
      <c r="M180" s="286" t="s">
        <v>60</v>
      </c>
      <c r="N180" s="286">
        <v>4</v>
      </c>
      <c r="O180" s="286" t="s">
        <v>61</v>
      </c>
      <c r="P180" s="302">
        <f>PRODUCT(F180:N180)</f>
        <v>1.83072</v>
      </c>
    </row>
    <row r="181" ht="15.75" spans="1:16">
      <c r="A181" s="280"/>
      <c r="B181" s="280"/>
      <c r="C181" s="284"/>
      <c r="D181" s="288" t="s">
        <v>81</v>
      </c>
      <c r="E181" s="280"/>
      <c r="F181" s="283">
        <f>151.04+210.96+1.75+2.61</f>
        <v>366.36</v>
      </c>
      <c r="G181" s="286" t="s">
        <v>60</v>
      </c>
      <c r="H181" s="304">
        <v>0.8</v>
      </c>
      <c r="I181" s="286" t="s">
        <v>60</v>
      </c>
      <c r="J181" s="316">
        <v>0.02</v>
      </c>
      <c r="K181" s="286" t="s">
        <v>60</v>
      </c>
      <c r="L181" s="303">
        <v>1.2</v>
      </c>
      <c r="M181" s="286" t="s">
        <v>60</v>
      </c>
      <c r="N181" s="286">
        <v>4</v>
      </c>
      <c r="O181" s="286" t="s">
        <v>61</v>
      </c>
      <c r="P181" s="302">
        <f>PRODUCT(F181:N181)</f>
        <v>28.136448</v>
      </c>
    </row>
    <row r="182" ht="15.75" spans="1:16">
      <c r="A182" s="280"/>
      <c r="B182" s="280"/>
      <c r="C182" s="284"/>
      <c r="D182" s="288"/>
      <c r="E182" s="280"/>
      <c r="F182" s="283"/>
      <c r="G182" s="286"/>
      <c r="H182" s="286"/>
      <c r="I182" s="286"/>
      <c r="J182" s="286"/>
      <c r="K182" s="286"/>
      <c r="L182" s="286"/>
      <c r="M182" s="286"/>
      <c r="N182" s="286"/>
      <c r="O182" s="286"/>
      <c r="P182" s="302"/>
    </row>
    <row r="183" ht="15.75" spans="1:16">
      <c r="A183" s="280"/>
      <c r="B183" s="280"/>
      <c r="C183" s="284"/>
      <c r="D183" s="282" t="str">
        <f>COMPOSIÇÕES!A300</f>
        <v>REMOÇÃO DE MASSA LATÉX</v>
      </c>
      <c r="E183" s="280" t="s">
        <v>84</v>
      </c>
      <c r="F183" s="283"/>
      <c r="G183" s="283"/>
      <c r="H183" s="300"/>
      <c r="I183" s="283"/>
      <c r="J183" s="300" t="s">
        <v>121</v>
      </c>
      <c r="K183" s="283"/>
      <c r="L183" s="300" t="s">
        <v>120</v>
      </c>
      <c r="M183" s="283"/>
      <c r="N183" s="286"/>
      <c r="O183" s="283"/>
      <c r="P183" s="301"/>
    </row>
    <row r="184" ht="15.75" spans="1:16">
      <c r="A184" s="280"/>
      <c r="B184" s="280"/>
      <c r="C184" s="284"/>
      <c r="D184" s="291"/>
      <c r="E184" s="269"/>
      <c r="F184" s="283"/>
      <c r="G184" s="283"/>
      <c r="H184" s="300"/>
      <c r="I184" s="283"/>
      <c r="J184" s="300"/>
      <c r="K184" s="283"/>
      <c r="L184" s="300"/>
      <c r="M184" s="283"/>
      <c r="N184" s="286"/>
      <c r="O184" s="283"/>
      <c r="P184" s="301"/>
    </row>
    <row r="185" ht="15.75" spans="1:16">
      <c r="A185" s="280"/>
      <c r="B185" s="280"/>
      <c r="C185" s="284"/>
      <c r="D185" s="288" t="s">
        <v>77</v>
      </c>
      <c r="E185" s="269"/>
      <c r="F185" s="283">
        <f>F34</f>
        <v>365.19</v>
      </c>
      <c r="G185" s="285" t="s">
        <v>60</v>
      </c>
      <c r="H185" s="305">
        <v>0.4</v>
      </c>
      <c r="I185" s="285" t="s">
        <v>60</v>
      </c>
      <c r="J185" s="316">
        <v>0.005</v>
      </c>
      <c r="K185" s="317" t="s">
        <v>60</v>
      </c>
      <c r="L185" s="316">
        <v>1.2</v>
      </c>
      <c r="M185" s="285" t="s">
        <v>60</v>
      </c>
      <c r="N185" s="286">
        <v>4</v>
      </c>
      <c r="O185" s="283"/>
      <c r="P185" s="302">
        <f>PRODUCT(F185:N185)</f>
        <v>3.505824</v>
      </c>
    </row>
    <row r="186" ht="15.75" spans="1:16">
      <c r="A186" s="280"/>
      <c r="B186" s="280"/>
      <c r="C186" s="284"/>
      <c r="D186" s="288" t="s">
        <v>81</v>
      </c>
      <c r="E186" s="280"/>
      <c r="F186" s="283">
        <f>151.04+210.96+1.75+2.61</f>
        <v>366.36</v>
      </c>
      <c r="G186" s="286" t="s">
        <v>60</v>
      </c>
      <c r="H186" s="306">
        <v>0.2</v>
      </c>
      <c r="I186" s="286" t="s">
        <v>60</v>
      </c>
      <c r="J186" s="316">
        <v>0.005</v>
      </c>
      <c r="K186" s="317" t="s">
        <v>60</v>
      </c>
      <c r="L186" s="316">
        <v>1.2</v>
      </c>
      <c r="M186" s="286" t="s">
        <v>60</v>
      </c>
      <c r="N186" s="286">
        <v>4</v>
      </c>
      <c r="O186" s="286" t="s">
        <v>61</v>
      </c>
      <c r="P186" s="302">
        <f>PRODUCT(F186:N186)</f>
        <v>1.758528</v>
      </c>
    </row>
    <row r="187" ht="15.75" spans="1:16">
      <c r="A187" s="280"/>
      <c r="B187" s="280"/>
      <c r="C187" s="284"/>
      <c r="D187" s="288"/>
      <c r="E187" s="280"/>
      <c r="F187" s="283"/>
      <c r="G187" s="286"/>
      <c r="H187" s="315"/>
      <c r="I187" s="286"/>
      <c r="J187" s="286"/>
      <c r="K187" s="286"/>
      <c r="L187" s="286"/>
      <c r="M187" s="286"/>
      <c r="N187" s="286"/>
      <c r="O187" s="286"/>
      <c r="P187" s="302"/>
    </row>
    <row r="188" ht="31.5" spans="1:16">
      <c r="A188" s="280"/>
      <c r="B188" s="280"/>
      <c r="C188" s="284"/>
      <c r="D188" s="282" t="str">
        <f>COMPOSIÇÕES!A43</f>
        <v>DEMOLIÇÃO MANUAL DE CONCRETO SIMPLES (ALGEROZES DO SETOR CENTRAL)</v>
      </c>
      <c r="E188" s="280" t="s">
        <v>84</v>
      </c>
      <c r="F188" s="283"/>
      <c r="G188" s="283"/>
      <c r="H188" s="283"/>
      <c r="I188" s="283"/>
      <c r="J188" s="300"/>
      <c r="K188" s="283"/>
      <c r="L188" s="300"/>
      <c r="M188" s="283"/>
      <c r="N188" s="286"/>
      <c r="O188" s="283"/>
      <c r="P188" s="301"/>
    </row>
    <row r="189" ht="15.75" spans="1:16">
      <c r="A189" s="280"/>
      <c r="B189" s="280"/>
      <c r="C189" s="284"/>
      <c r="D189" s="282"/>
      <c r="E189" s="280"/>
      <c r="F189" s="283"/>
      <c r="G189" s="283"/>
      <c r="H189" s="283"/>
      <c r="I189" s="283"/>
      <c r="J189" s="300"/>
      <c r="K189" s="283"/>
      <c r="L189" s="300" t="s">
        <v>120</v>
      </c>
      <c r="M189" s="283"/>
      <c r="N189" s="286"/>
      <c r="O189" s="283"/>
      <c r="P189" s="301"/>
    </row>
    <row r="190" ht="31.5" spans="1:16">
      <c r="A190" s="280"/>
      <c r="B190" s="280"/>
      <c r="C190" s="284"/>
      <c r="D190" s="288" t="s">
        <v>85</v>
      </c>
      <c r="E190" s="280"/>
      <c r="F190" s="283">
        <f>12.85+12.85</f>
        <v>25.7</v>
      </c>
      <c r="G190" s="286" t="s">
        <v>60</v>
      </c>
      <c r="H190" s="286">
        <v>0.3</v>
      </c>
      <c r="I190" s="286" t="s">
        <v>60</v>
      </c>
      <c r="J190" s="286">
        <v>0.1</v>
      </c>
      <c r="K190" s="286" t="s">
        <v>60</v>
      </c>
      <c r="L190" s="286">
        <v>1.2</v>
      </c>
      <c r="M190" s="286" t="s">
        <v>60</v>
      </c>
      <c r="N190" s="286">
        <v>4</v>
      </c>
      <c r="O190" s="286" t="s">
        <v>61</v>
      </c>
      <c r="P190" s="302">
        <f>PRODUCT(F190:N190)</f>
        <v>3.7008</v>
      </c>
    </row>
    <row r="191" ht="15.75" spans="1:16">
      <c r="A191" s="280"/>
      <c r="B191" s="280"/>
      <c r="C191" s="284"/>
      <c r="D191" s="288" t="s">
        <v>86</v>
      </c>
      <c r="E191" s="280"/>
      <c r="F191" s="283">
        <f>3.55+3.55+3.9+3.9</f>
        <v>14.9</v>
      </c>
      <c r="G191" s="286" t="s">
        <v>60</v>
      </c>
      <c r="H191" s="286">
        <v>0.3</v>
      </c>
      <c r="I191" s="286" t="s">
        <v>60</v>
      </c>
      <c r="J191" s="286">
        <v>0.1</v>
      </c>
      <c r="K191" s="286" t="s">
        <v>60</v>
      </c>
      <c r="L191" s="286">
        <v>1.2</v>
      </c>
      <c r="M191" s="286" t="s">
        <v>60</v>
      </c>
      <c r="N191" s="286">
        <v>4</v>
      </c>
      <c r="O191" s="286" t="s">
        <v>61</v>
      </c>
      <c r="P191" s="302">
        <f>PRODUCT(F191:N191)</f>
        <v>2.1456</v>
      </c>
    </row>
    <row r="192" ht="15.75" spans="1:16">
      <c r="A192" s="280"/>
      <c r="B192" s="280"/>
      <c r="C192" s="284"/>
      <c r="D192" s="288" t="s">
        <v>87</v>
      </c>
      <c r="E192" s="280"/>
      <c r="F192" s="283">
        <f>5.69+5.69+3.45+3.45</f>
        <v>18.28</v>
      </c>
      <c r="G192" s="286" t="s">
        <v>60</v>
      </c>
      <c r="H192" s="286">
        <v>0.3</v>
      </c>
      <c r="I192" s="286" t="s">
        <v>60</v>
      </c>
      <c r="J192" s="286">
        <v>0.1</v>
      </c>
      <c r="K192" s="286" t="s">
        <v>60</v>
      </c>
      <c r="L192" s="286">
        <v>1.2</v>
      </c>
      <c r="M192" s="286" t="s">
        <v>60</v>
      </c>
      <c r="N192" s="286">
        <v>4</v>
      </c>
      <c r="O192" s="286" t="s">
        <v>61</v>
      </c>
      <c r="P192" s="302">
        <f>PRODUCT(F192:N192)</f>
        <v>2.63232</v>
      </c>
    </row>
    <row r="193" ht="31.5" spans="1:16">
      <c r="A193" s="280"/>
      <c r="B193" s="280"/>
      <c r="C193" s="284"/>
      <c r="D193" s="288" t="s">
        <v>88</v>
      </c>
      <c r="E193" s="280"/>
      <c r="F193" s="283">
        <f>12.8+12.8</f>
        <v>25.6</v>
      </c>
      <c r="G193" s="286" t="s">
        <v>60</v>
      </c>
      <c r="H193" s="286">
        <v>0.3</v>
      </c>
      <c r="I193" s="286" t="s">
        <v>60</v>
      </c>
      <c r="J193" s="286">
        <v>0.1</v>
      </c>
      <c r="K193" s="286" t="s">
        <v>60</v>
      </c>
      <c r="L193" s="286">
        <v>1.2</v>
      </c>
      <c r="M193" s="286" t="s">
        <v>60</v>
      </c>
      <c r="N193" s="286">
        <v>4</v>
      </c>
      <c r="O193" s="286" t="s">
        <v>61</v>
      </c>
      <c r="P193" s="302">
        <f>PRODUCT(F193:N193)</f>
        <v>3.6864</v>
      </c>
    </row>
    <row r="194" ht="15.75" spans="1:16">
      <c r="A194" s="280"/>
      <c r="B194" s="280"/>
      <c r="C194" s="284"/>
      <c r="D194" s="288" t="s">
        <v>89</v>
      </c>
      <c r="E194" s="280"/>
      <c r="F194" s="283">
        <f>3.22+3.22+1.1+1.1</f>
        <v>8.64</v>
      </c>
      <c r="G194" s="286" t="s">
        <v>60</v>
      </c>
      <c r="H194" s="286">
        <v>0.3</v>
      </c>
      <c r="I194" s="286" t="s">
        <v>60</v>
      </c>
      <c r="J194" s="286">
        <v>0.1</v>
      </c>
      <c r="K194" s="286" t="s">
        <v>60</v>
      </c>
      <c r="L194" s="286">
        <v>1.2</v>
      </c>
      <c r="M194" s="286" t="s">
        <v>60</v>
      </c>
      <c r="N194" s="286">
        <v>4</v>
      </c>
      <c r="O194" s="286" t="s">
        <v>61</v>
      </c>
      <c r="P194" s="302">
        <f>PRODUCT(F194:N194)</f>
        <v>1.24416</v>
      </c>
    </row>
    <row r="195" ht="15.75" spans="1:16">
      <c r="A195" s="280"/>
      <c r="B195" s="280"/>
      <c r="C195" s="284"/>
      <c r="D195" s="288"/>
      <c r="E195" s="280"/>
      <c r="F195" s="283"/>
      <c r="G195" s="286"/>
      <c r="H195" s="315"/>
      <c r="I195" s="286"/>
      <c r="J195" s="286"/>
      <c r="K195" s="286"/>
      <c r="L195" s="286"/>
      <c r="M195" s="286"/>
      <c r="N195" s="286"/>
      <c r="O195" s="286"/>
      <c r="P195" s="302"/>
    </row>
    <row r="196" ht="31.5" spans="1:16">
      <c r="A196" s="280"/>
      <c r="B196" s="280"/>
      <c r="C196" s="284"/>
      <c r="D196" s="282" t="s">
        <v>91</v>
      </c>
      <c r="E196" s="280" t="s">
        <v>84</v>
      </c>
      <c r="F196" s="283"/>
      <c r="G196" s="283"/>
      <c r="H196" s="283"/>
      <c r="I196" s="283"/>
      <c r="J196" s="300" t="s">
        <v>121</v>
      </c>
      <c r="K196" s="283"/>
      <c r="L196" s="300" t="s">
        <v>120</v>
      </c>
      <c r="M196" s="283"/>
      <c r="N196" s="286"/>
      <c r="O196" s="283"/>
      <c r="P196" s="301"/>
    </row>
    <row r="197" ht="15.75" spans="1:16">
      <c r="A197" s="280"/>
      <c r="B197" s="280"/>
      <c r="C197" s="284"/>
      <c r="D197" s="282"/>
      <c r="E197" s="280"/>
      <c r="F197" s="283"/>
      <c r="G197" s="283"/>
      <c r="H197" s="283"/>
      <c r="I197" s="283"/>
      <c r="J197" s="300"/>
      <c r="K197" s="283"/>
      <c r="L197" s="300"/>
      <c r="M197" s="283"/>
      <c r="N197" s="286"/>
      <c r="O197" s="283"/>
      <c r="P197" s="301"/>
    </row>
    <row r="198" ht="15.75" spans="1:16">
      <c r="A198" s="280"/>
      <c r="B198" s="280"/>
      <c r="C198" s="284"/>
      <c r="D198" s="288" t="s">
        <v>92</v>
      </c>
      <c r="E198" s="280"/>
      <c r="F198" s="283">
        <v>0.6</v>
      </c>
      <c r="G198" s="286" t="s">
        <v>60</v>
      </c>
      <c r="H198" s="286">
        <f>2.1*2</f>
        <v>4.2</v>
      </c>
      <c r="I198" s="286" t="s">
        <v>60</v>
      </c>
      <c r="J198" s="286">
        <v>0.05</v>
      </c>
      <c r="K198" s="286" t="s">
        <v>60</v>
      </c>
      <c r="L198" s="286">
        <v>1.2</v>
      </c>
      <c r="M198" s="286" t="s">
        <v>60</v>
      </c>
      <c r="N198" s="286">
        <v>4</v>
      </c>
      <c r="O198" s="286" t="s">
        <v>61</v>
      </c>
      <c r="P198" s="302">
        <f>PRODUCT(F198:N198)</f>
        <v>0.6048</v>
      </c>
    </row>
    <row r="199" ht="15.75" spans="1:16">
      <c r="A199" s="280"/>
      <c r="B199" s="280"/>
      <c r="C199" s="284"/>
      <c r="D199" s="288" t="s">
        <v>93</v>
      </c>
      <c r="E199" s="280"/>
      <c r="F199" s="283">
        <v>0.8</v>
      </c>
      <c r="G199" s="286" t="s">
        <v>60</v>
      </c>
      <c r="H199" s="286">
        <f>2.1</f>
        <v>2.1</v>
      </c>
      <c r="I199" s="286" t="s">
        <v>60</v>
      </c>
      <c r="J199" s="286">
        <v>0.05</v>
      </c>
      <c r="K199" s="286" t="s">
        <v>60</v>
      </c>
      <c r="L199" s="286">
        <v>1.2</v>
      </c>
      <c r="M199" s="286" t="s">
        <v>60</v>
      </c>
      <c r="N199" s="286">
        <v>4</v>
      </c>
      <c r="O199" s="286" t="s">
        <v>61</v>
      </c>
      <c r="P199" s="302">
        <f>PRODUCT(F199:N199)</f>
        <v>0.4032</v>
      </c>
    </row>
    <row r="200" ht="15.75" spans="1:16">
      <c r="A200" s="280"/>
      <c r="B200" s="280"/>
      <c r="C200" s="284"/>
      <c r="D200" s="288"/>
      <c r="E200" s="280"/>
      <c r="F200" s="283"/>
      <c r="G200" s="286"/>
      <c r="H200" s="315"/>
      <c r="I200" s="286"/>
      <c r="J200" s="286"/>
      <c r="K200" s="286"/>
      <c r="L200" s="286"/>
      <c r="M200" s="286"/>
      <c r="N200" s="286"/>
      <c r="O200" s="286"/>
      <c r="P200" s="302"/>
    </row>
    <row r="201" ht="63" spans="1:16">
      <c r="A201" s="280"/>
      <c r="B201" s="280"/>
      <c r="C201" s="284"/>
      <c r="D201" s="282" t="s">
        <v>95</v>
      </c>
      <c r="E201" s="280" t="s">
        <v>84</v>
      </c>
      <c r="F201" s="283"/>
      <c r="G201" s="283"/>
      <c r="H201" s="283"/>
      <c r="I201" s="283"/>
      <c r="J201" s="300" t="s">
        <v>121</v>
      </c>
      <c r="K201" s="283"/>
      <c r="L201" s="300" t="s">
        <v>120</v>
      </c>
      <c r="M201" s="283"/>
      <c r="N201" s="286"/>
      <c r="O201" s="283"/>
      <c r="P201" s="301"/>
    </row>
    <row r="202" ht="15.75" spans="1:16">
      <c r="A202" s="280"/>
      <c r="B202" s="280"/>
      <c r="C202" s="284"/>
      <c r="D202" s="282"/>
      <c r="E202" s="280"/>
      <c r="F202" s="283"/>
      <c r="G202" s="283"/>
      <c r="H202" s="283"/>
      <c r="I202" s="283"/>
      <c r="J202" s="300"/>
      <c r="K202" s="283"/>
      <c r="L202" s="300"/>
      <c r="M202" s="283"/>
      <c r="N202" s="286"/>
      <c r="O202" s="283"/>
      <c r="P202" s="301"/>
    </row>
    <row r="203" ht="31.5" spans="1:16">
      <c r="A203" s="280"/>
      <c r="B203" s="280"/>
      <c r="C203" s="284"/>
      <c r="D203" s="288" t="s">
        <v>96</v>
      </c>
      <c r="E203" s="280"/>
      <c r="F203" s="283">
        <f>420.16-1.44</f>
        <v>418.72</v>
      </c>
      <c r="G203" s="286" t="s">
        <v>60</v>
      </c>
      <c r="H203" s="286"/>
      <c r="I203" s="286" t="s">
        <v>60</v>
      </c>
      <c r="J203" s="286">
        <v>0.1</v>
      </c>
      <c r="K203" s="286" t="s">
        <v>60</v>
      </c>
      <c r="L203" s="286">
        <v>1.2</v>
      </c>
      <c r="M203" s="286" t="s">
        <v>60</v>
      </c>
      <c r="N203" s="286">
        <v>4</v>
      </c>
      <c r="O203" s="286" t="s">
        <v>61</v>
      </c>
      <c r="P203" s="302">
        <f>PRODUCT(F203:N203)</f>
        <v>200.9856</v>
      </c>
    </row>
    <row r="204" ht="31.5" spans="1:16">
      <c r="A204" s="280"/>
      <c r="B204" s="280"/>
      <c r="C204" s="284"/>
      <c r="D204" s="288" t="s">
        <v>97</v>
      </c>
      <c r="E204" s="280"/>
      <c r="F204" s="283">
        <f>24.75+33.99+26.68+40.96</f>
        <v>126.38</v>
      </c>
      <c r="G204" s="286" t="s">
        <v>60</v>
      </c>
      <c r="H204" s="286"/>
      <c r="I204" s="286" t="s">
        <v>60</v>
      </c>
      <c r="J204" s="286">
        <v>0.1</v>
      </c>
      <c r="K204" s="286" t="s">
        <v>60</v>
      </c>
      <c r="L204" s="286">
        <v>1.2</v>
      </c>
      <c r="M204" s="286" t="s">
        <v>60</v>
      </c>
      <c r="N204" s="286">
        <v>4</v>
      </c>
      <c r="O204" s="286" t="s">
        <v>61</v>
      </c>
      <c r="P204" s="302">
        <f>PRODUCT(F204:N204)</f>
        <v>60.6624</v>
      </c>
    </row>
    <row r="205" ht="31.5" spans="1:16">
      <c r="A205" s="280"/>
      <c r="B205" s="280"/>
      <c r="C205" s="284"/>
      <c r="D205" s="288" t="s">
        <v>98</v>
      </c>
      <c r="E205" s="280"/>
      <c r="F205" s="283">
        <f>421.81-11.5</f>
        <v>410.31</v>
      </c>
      <c r="G205" s="286" t="s">
        <v>60</v>
      </c>
      <c r="H205" s="286"/>
      <c r="I205" s="286" t="s">
        <v>60</v>
      </c>
      <c r="J205" s="286">
        <v>0.1</v>
      </c>
      <c r="K205" s="286" t="s">
        <v>60</v>
      </c>
      <c r="L205" s="286">
        <v>1.2</v>
      </c>
      <c r="M205" s="286" t="s">
        <v>60</v>
      </c>
      <c r="N205" s="286">
        <v>4</v>
      </c>
      <c r="O205" s="286" t="s">
        <v>61</v>
      </c>
      <c r="P205" s="302">
        <f>PRODUCT(F205:N205)</f>
        <v>196.9488</v>
      </c>
    </row>
    <row r="206" ht="15.75" spans="1:16">
      <c r="A206" s="280"/>
      <c r="B206" s="280"/>
      <c r="C206" s="284"/>
      <c r="D206" s="288"/>
      <c r="E206" s="280"/>
      <c r="F206" s="283"/>
      <c r="G206" s="286"/>
      <c r="H206" s="315"/>
      <c r="I206" s="286"/>
      <c r="J206" s="286"/>
      <c r="K206" s="286" t="s">
        <v>60</v>
      </c>
      <c r="L206" s="286"/>
      <c r="M206" s="286"/>
      <c r="N206" s="286"/>
      <c r="O206" s="286"/>
      <c r="P206" s="302"/>
    </row>
    <row r="207" ht="47.25" spans="1:16">
      <c r="A207" s="280"/>
      <c r="B207" s="280"/>
      <c r="C207" s="284"/>
      <c r="D207" s="282" t="str">
        <f>COMPOSIÇÕES!A57</f>
        <v>REMOÇÃO DE TRAMA DE MADEIRA PARA COBERTURA, DE FORMA MANUAL, SEM REAPROVEITAMENTO. AF_12/2017</v>
      </c>
      <c r="E207" s="280" t="s">
        <v>84</v>
      </c>
      <c r="F207" s="283"/>
      <c r="G207" s="283"/>
      <c r="H207" s="283"/>
      <c r="I207" s="283"/>
      <c r="J207" s="300" t="s">
        <v>121</v>
      </c>
      <c r="K207" s="283"/>
      <c r="L207" s="300" t="s">
        <v>120</v>
      </c>
      <c r="M207" s="283"/>
      <c r="N207" s="286"/>
      <c r="O207" s="283"/>
      <c r="P207" s="301"/>
    </row>
    <row r="208" ht="15.75" spans="1:16">
      <c r="A208" s="280"/>
      <c r="B208" s="280"/>
      <c r="C208" s="284"/>
      <c r="D208" s="282"/>
      <c r="E208" s="280"/>
      <c r="F208" s="283"/>
      <c r="G208" s="283"/>
      <c r="H208" s="283"/>
      <c r="I208" s="283"/>
      <c r="J208" s="300"/>
      <c r="K208" s="283"/>
      <c r="L208" s="300"/>
      <c r="M208" s="283"/>
      <c r="N208" s="286"/>
      <c r="O208" s="283"/>
      <c r="P208" s="301"/>
    </row>
    <row r="209" ht="31.5" spans="1:16">
      <c r="A209" s="280"/>
      <c r="B209" s="280"/>
      <c r="C209" s="284"/>
      <c r="D209" s="288" t="s">
        <v>96</v>
      </c>
      <c r="E209" s="280"/>
      <c r="F209" s="283">
        <f>420.16-1.44</f>
        <v>418.72</v>
      </c>
      <c r="G209" s="286" t="s">
        <v>60</v>
      </c>
      <c r="H209" s="286"/>
      <c r="I209" s="286" t="s">
        <v>60</v>
      </c>
      <c r="J209" s="286">
        <v>0.2</v>
      </c>
      <c r="K209" s="286" t="s">
        <v>60</v>
      </c>
      <c r="L209" s="286">
        <v>1.2</v>
      </c>
      <c r="M209" s="286" t="s">
        <v>60</v>
      </c>
      <c r="N209" s="286">
        <v>4</v>
      </c>
      <c r="O209" s="286" t="s">
        <v>61</v>
      </c>
      <c r="P209" s="302">
        <f>PRODUCT(F209:N209)</f>
        <v>401.9712</v>
      </c>
    </row>
    <row r="210" ht="31.5" spans="1:16">
      <c r="A210" s="280"/>
      <c r="B210" s="280"/>
      <c r="C210" s="284"/>
      <c r="D210" s="288" t="s">
        <v>97</v>
      </c>
      <c r="E210" s="280"/>
      <c r="F210" s="283">
        <f>24.75+33.99+26.68+40.96</f>
        <v>126.38</v>
      </c>
      <c r="G210" s="286" t="s">
        <v>60</v>
      </c>
      <c r="H210" s="286"/>
      <c r="I210" s="286" t="s">
        <v>60</v>
      </c>
      <c r="J210" s="286">
        <v>0.2</v>
      </c>
      <c r="K210" s="286" t="s">
        <v>60</v>
      </c>
      <c r="L210" s="286">
        <v>1.2</v>
      </c>
      <c r="M210" s="286" t="s">
        <v>60</v>
      </c>
      <c r="N210" s="286">
        <v>4</v>
      </c>
      <c r="O210" s="286" t="s">
        <v>61</v>
      </c>
      <c r="P210" s="302">
        <f>PRODUCT(F210:N210)</f>
        <v>121.3248</v>
      </c>
    </row>
    <row r="211" ht="31.5" spans="1:16">
      <c r="A211" s="280"/>
      <c r="B211" s="280"/>
      <c r="C211" s="284"/>
      <c r="D211" s="288" t="s">
        <v>98</v>
      </c>
      <c r="E211" s="280"/>
      <c r="F211" s="283">
        <f>421.81-11.5</f>
        <v>410.31</v>
      </c>
      <c r="G211" s="286" t="s">
        <v>60</v>
      </c>
      <c r="H211" s="286"/>
      <c r="I211" s="286" t="s">
        <v>60</v>
      </c>
      <c r="J211" s="286">
        <v>0.2</v>
      </c>
      <c r="K211" s="286" t="s">
        <v>60</v>
      </c>
      <c r="L211" s="286">
        <v>1.2</v>
      </c>
      <c r="M211" s="286" t="s">
        <v>60</v>
      </c>
      <c r="N211" s="286">
        <v>4</v>
      </c>
      <c r="O211" s="286" t="s">
        <v>61</v>
      </c>
      <c r="P211" s="302">
        <f>PRODUCT(F211:N211)</f>
        <v>393.8976</v>
      </c>
    </row>
    <row r="212" ht="15.75" spans="1:16">
      <c r="A212" s="280"/>
      <c r="B212" s="280"/>
      <c r="C212" s="284"/>
      <c r="D212" s="288"/>
      <c r="E212" s="280"/>
      <c r="F212" s="283"/>
      <c r="G212" s="286"/>
      <c r="H212" s="315"/>
      <c r="I212" s="286"/>
      <c r="J212" s="286"/>
      <c r="K212" s="286"/>
      <c r="L212" s="286"/>
      <c r="M212" s="286"/>
      <c r="N212" s="286"/>
      <c r="O212" s="286"/>
      <c r="P212" s="302"/>
    </row>
    <row r="213" ht="31.5" spans="1:16">
      <c r="A213" s="280"/>
      <c r="B213" s="280"/>
      <c r="C213" s="284"/>
      <c r="D213" s="282" t="s">
        <v>101</v>
      </c>
      <c r="E213" s="280" t="s">
        <v>84</v>
      </c>
      <c r="F213" s="283"/>
      <c r="G213" s="283"/>
      <c r="H213" s="283"/>
      <c r="I213" s="283"/>
      <c r="J213" s="300"/>
      <c r="K213" s="283"/>
      <c r="L213" s="300"/>
      <c r="M213" s="283"/>
      <c r="N213" s="286"/>
      <c r="O213" s="283"/>
      <c r="P213" s="301"/>
    </row>
    <row r="214" ht="15.75" spans="1:16">
      <c r="A214" s="280"/>
      <c r="B214" s="280"/>
      <c r="C214" s="284"/>
      <c r="D214" s="282"/>
      <c r="E214" s="280"/>
      <c r="F214" s="283"/>
      <c r="G214" s="283"/>
      <c r="H214" s="283"/>
      <c r="I214" s="283"/>
      <c r="J214" s="300"/>
      <c r="K214" s="283"/>
      <c r="L214" s="300"/>
      <c r="M214" s="283"/>
      <c r="N214" s="286"/>
      <c r="O214" s="283"/>
      <c r="P214" s="301"/>
    </row>
    <row r="215" ht="31.5" spans="1:16">
      <c r="A215" s="280"/>
      <c r="B215" s="280"/>
      <c r="C215" s="284"/>
      <c r="D215" s="288" t="s">
        <v>103</v>
      </c>
      <c r="E215" s="280"/>
      <c r="F215" s="314">
        <f>PI()*(0.1/2)^2</f>
        <v>0.00785398163397448</v>
      </c>
      <c r="G215" s="286" t="s">
        <v>60</v>
      </c>
      <c r="H215" s="286">
        <v>0.2</v>
      </c>
      <c r="I215" s="286" t="s">
        <v>60</v>
      </c>
      <c r="J215" s="286"/>
      <c r="K215" s="286" t="s">
        <v>60</v>
      </c>
      <c r="L215" s="286"/>
      <c r="M215" s="286" t="s">
        <v>60</v>
      </c>
      <c r="N215" s="286">
        <v>4</v>
      </c>
      <c r="O215" s="286" t="s">
        <v>61</v>
      </c>
      <c r="P215" s="303">
        <f>PRODUCT(F215:N215)</f>
        <v>0.00628318530717959</v>
      </c>
    </row>
    <row r="216" ht="31.5" spans="1:16">
      <c r="A216" s="280"/>
      <c r="B216" s="280"/>
      <c r="C216" s="284"/>
      <c r="D216" s="288" t="s">
        <v>104</v>
      </c>
      <c r="E216" s="280"/>
      <c r="F216" s="314">
        <f>PI()*(0.08/2)^2</f>
        <v>0.00502654824574367</v>
      </c>
      <c r="G216" s="286" t="s">
        <v>60</v>
      </c>
      <c r="H216" s="286">
        <v>0.2</v>
      </c>
      <c r="I216" s="286" t="s">
        <v>60</v>
      </c>
      <c r="J216" s="286"/>
      <c r="K216" s="286" t="s">
        <v>60</v>
      </c>
      <c r="L216" s="286"/>
      <c r="M216" s="286" t="s">
        <v>60</v>
      </c>
      <c r="N216" s="286">
        <v>4</v>
      </c>
      <c r="O216" s="286" t="s">
        <v>61</v>
      </c>
      <c r="P216" s="303">
        <f t="shared" ref="P216:P217" si="6">PRODUCT(F216:N216)</f>
        <v>0.00402123859659494</v>
      </c>
    </row>
    <row r="217" ht="31.5" spans="1:16">
      <c r="A217" s="280"/>
      <c r="B217" s="280"/>
      <c r="C217" s="284"/>
      <c r="D217" s="288" t="s">
        <v>105</v>
      </c>
      <c r="E217" s="280"/>
      <c r="F217" s="314">
        <f>PI()*(0.07/2)^2</f>
        <v>0.0038484510006475</v>
      </c>
      <c r="G217" s="286" t="s">
        <v>60</v>
      </c>
      <c r="H217" s="286">
        <v>0.2</v>
      </c>
      <c r="I217" s="286" t="s">
        <v>60</v>
      </c>
      <c r="J217" s="286"/>
      <c r="K217" s="286" t="s">
        <v>60</v>
      </c>
      <c r="L217" s="286"/>
      <c r="M217" s="286" t="s">
        <v>60</v>
      </c>
      <c r="N217" s="286">
        <v>4</v>
      </c>
      <c r="O217" s="286" t="s">
        <v>61</v>
      </c>
      <c r="P217" s="303">
        <f t="shared" si="6"/>
        <v>0.003078760800518</v>
      </c>
    </row>
    <row r="218" ht="15.75" spans="1:16">
      <c r="A218" s="280"/>
      <c r="B218" s="280"/>
      <c r="C218" s="284"/>
      <c r="D218" s="288"/>
      <c r="E218" s="280"/>
      <c r="F218" s="283"/>
      <c r="G218" s="286"/>
      <c r="H218" s="315"/>
      <c r="I218" s="286"/>
      <c r="J218" s="286"/>
      <c r="K218" s="286"/>
      <c r="L218" s="286"/>
      <c r="M218" s="286"/>
      <c r="N218" s="286"/>
      <c r="O218" s="286"/>
      <c r="P218" s="302"/>
    </row>
    <row r="219" ht="15.75" spans="1:16">
      <c r="A219" s="280"/>
      <c r="B219" s="280"/>
      <c r="C219" s="284"/>
      <c r="D219" s="288"/>
      <c r="E219" s="280"/>
      <c r="F219" s="283"/>
      <c r="G219" s="286"/>
      <c r="H219" s="286"/>
      <c r="I219" s="286"/>
      <c r="J219" s="286"/>
      <c r="K219" s="286"/>
      <c r="L219" s="286"/>
      <c r="M219" s="286"/>
      <c r="N219" s="286"/>
      <c r="O219" s="286"/>
      <c r="P219" s="302"/>
    </row>
    <row r="220" ht="15.75" spans="1:16">
      <c r="A220" s="280"/>
      <c r="B220" s="280"/>
      <c r="C220" s="284"/>
      <c r="D220" s="285"/>
      <c r="E220" s="280"/>
      <c r="F220" s="283"/>
      <c r="G220" s="286"/>
      <c r="H220" s="286"/>
      <c r="I220" s="286"/>
      <c r="J220" s="286"/>
      <c r="K220" s="286"/>
      <c r="L220" s="286"/>
      <c r="M220" s="286"/>
      <c r="N220" s="300" t="s">
        <v>27</v>
      </c>
      <c r="O220" s="283" t="s">
        <v>61</v>
      </c>
      <c r="P220" s="300">
        <f>SUM(P170:P217)</f>
        <v>1448.19235565902</v>
      </c>
    </row>
    <row r="221" ht="15.75" spans="1:16">
      <c r="A221" s="280"/>
      <c r="B221" s="280"/>
      <c r="C221" s="284"/>
      <c r="D221" s="285"/>
      <c r="E221" s="280"/>
      <c r="F221" s="283"/>
      <c r="G221" s="286"/>
      <c r="H221" s="286"/>
      <c r="I221" s="286"/>
      <c r="J221" s="286"/>
      <c r="K221" s="286"/>
      <c r="L221" s="286"/>
      <c r="M221" s="286"/>
      <c r="N221" s="300"/>
      <c r="O221" s="283"/>
      <c r="P221" s="301"/>
    </row>
    <row r="222" s="252" customFormat="1" ht="15.75" spans="1:16">
      <c r="A222" s="274" t="s">
        <v>20</v>
      </c>
      <c r="B222" s="318" t="s">
        <v>126</v>
      </c>
      <c r="C222" s="318"/>
      <c r="D222" s="318"/>
      <c r="E222" s="274"/>
      <c r="F222" s="274"/>
      <c r="G222" s="274"/>
      <c r="H222" s="274"/>
      <c r="I222" s="274"/>
      <c r="J222" s="274"/>
      <c r="K222" s="274"/>
      <c r="L222" s="274"/>
      <c r="M222" s="274"/>
      <c r="N222" s="274"/>
      <c r="O222" s="274"/>
      <c r="P222" s="274"/>
    </row>
    <row r="223" ht="15.75" spans="1:16">
      <c r="A223" s="269"/>
      <c r="B223" s="319"/>
      <c r="C223" s="320"/>
      <c r="D223" s="269"/>
      <c r="E223" s="319"/>
      <c r="F223" s="320"/>
      <c r="G223" s="269"/>
      <c r="H223" s="319"/>
      <c r="I223" s="320"/>
      <c r="J223" s="269"/>
      <c r="K223" s="319"/>
      <c r="L223" s="320"/>
      <c r="M223" s="269"/>
      <c r="N223" s="319"/>
      <c r="O223" s="320"/>
      <c r="P223" s="269"/>
    </row>
    <row r="224" ht="94.5" spans="1:16">
      <c r="A224" s="285" t="s">
        <v>127</v>
      </c>
      <c r="B224" s="285" t="s">
        <v>64</v>
      </c>
      <c r="C224" s="316">
        <v>7</v>
      </c>
      <c r="D224" s="282" t="str">
        <f>COMPOSIÇÕES!A127</f>
        <v>ALVENARIA DE TIJOLOS MACIÇOS PRENSADOS PARA PILARETES DE SUSTENTAÇÃO DO MADEIRAMENTO DA COBERTA, ASSENTADOS E REJUNTADOS COM ARGAMASSA DE CIMENTO E AREIA NO TRAÇO 1:6 - 1 VEZ.</v>
      </c>
      <c r="E224" s="280" t="s">
        <v>84</v>
      </c>
      <c r="F224" s="283"/>
      <c r="G224" s="283"/>
      <c r="H224" s="283"/>
      <c r="I224" s="283"/>
      <c r="J224" s="300"/>
      <c r="K224" s="283"/>
      <c r="L224" s="300"/>
      <c r="M224" s="283"/>
      <c r="N224" s="300"/>
      <c r="O224" s="283"/>
      <c r="P224" s="301"/>
    </row>
    <row r="225" ht="15.75" spans="1:16">
      <c r="A225" s="280"/>
      <c r="B225" s="280"/>
      <c r="C225" s="281"/>
      <c r="D225" s="282"/>
      <c r="E225" s="280"/>
      <c r="F225" s="283"/>
      <c r="G225" s="283"/>
      <c r="H225" s="283"/>
      <c r="I225" s="283"/>
      <c r="J225" s="300"/>
      <c r="K225" s="283"/>
      <c r="L225" s="300"/>
      <c r="M225" s="283"/>
      <c r="N225" s="300"/>
      <c r="O225" s="283"/>
      <c r="P225" s="301"/>
    </row>
    <row r="226" ht="31.5" spans="1:16">
      <c r="A226" s="280"/>
      <c r="B226" s="280"/>
      <c r="C226" s="284"/>
      <c r="D226" s="288" t="s">
        <v>96</v>
      </c>
      <c r="E226" s="280"/>
      <c r="F226" s="283">
        <f>(1+(32.82/2))*0.45</f>
        <v>7.8345</v>
      </c>
      <c r="G226" s="286" t="s">
        <v>60</v>
      </c>
      <c r="H226" s="321">
        <v>1</v>
      </c>
      <c r="I226" s="286" t="s">
        <v>60</v>
      </c>
      <c r="J226" s="286">
        <v>0.45</v>
      </c>
      <c r="K226" s="286" t="s">
        <v>60</v>
      </c>
      <c r="L226" s="286"/>
      <c r="M226" s="286" t="s">
        <v>60</v>
      </c>
      <c r="N226" s="286"/>
      <c r="O226" s="286" t="s">
        <v>61</v>
      </c>
      <c r="P226" s="302">
        <f>PRODUCT(F226:N226)</f>
        <v>3.525525</v>
      </c>
    </row>
    <row r="227" ht="31.5" spans="1:16">
      <c r="A227" s="280"/>
      <c r="B227" s="280"/>
      <c r="C227" s="284"/>
      <c r="D227" s="288" t="s">
        <v>96</v>
      </c>
      <c r="E227" s="280"/>
      <c r="F227" s="283">
        <f>(1+(32.82/2))*0.45</f>
        <v>7.8345</v>
      </c>
      <c r="G227" s="286" t="s">
        <v>60</v>
      </c>
      <c r="H227" s="321">
        <v>0.5</v>
      </c>
      <c r="I227" s="286" t="s">
        <v>60</v>
      </c>
      <c r="J227" s="286">
        <v>0.45</v>
      </c>
      <c r="K227" s="286" t="s">
        <v>60</v>
      </c>
      <c r="L227" s="286"/>
      <c r="M227" s="286" t="s">
        <v>60</v>
      </c>
      <c r="N227" s="286">
        <v>2</v>
      </c>
      <c r="O227" s="286" t="s">
        <v>61</v>
      </c>
      <c r="P227" s="302">
        <f>PRODUCT(F227:N227)</f>
        <v>3.525525</v>
      </c>
    </row>
    <row r="228" ht="31.5" spans="1:16">
      <c r="A228" s="280"/>
      <c r="B228" s="280"/>
      <c r="C228" s="284"/>
      <c r="D228" s="288" t="s">
        <v>97</v>
      </c>
      <c r="E228" s="280"/>
      <c r="F228" s="283">
        <f>(1+((5.39+5.39+5.39+5.39)/2))*0.45</f>
        <v>5.301</v>
      </c>
      <c r="G228" s="286" t="s">
        <v>60</v>
      </c>
      <c r="H228" s="321">
        <v>0.5</v>
      </c>
      <c r="I228" s="286" t="s">
        <v>60</v>
      </c>
      <c r="J228" s="286">
        <v>0.45</v>
      </c>
      <c r="K228" s="286" t="s">
        <v>60</v>
      </c>
      <c r="L228" s="286"/>
      <c r="M228" s="286" t="s">
        <v>60</v>
      </c>
      <c r="N228" s="286"/>
      <c r="O228" s="286" t="s">
        <v>61</v>
      </c>
      <c r="P228" s="302">
        <f>PRODUCT(F228:N228)</f>
        <v>1.192725</v>
      </c>
    </row>
    <row r="229" ht="31.5" spans="1:16">
      <c r="A229" s="280"/>
      <c r="B229" s="280"/>
      <c r="C229" s="284"/>
      <c r="D229" s="288" t="s">
        <v>98</v>
      </c>
      <c r="E229" s="280"/>
      <c r="F229" s="283">
        <f>(1+((6.65+23.23)/2))*0.45</f>
        <v>7.173</v>
      </c>
      <c r="G229" s="286" t="s">
        <v>60</v>
      </c>
      <c r="H229" s="321">
        <v>1</v>
      </c>
      <c r="I229" s="286" t="s">
        <v>60</v>
      </c>
      <c r="J229" s="286">
        <v>0.45</v>
      </c>
      <c r="K229" s="286" t="s">
        <v>60</v>
      </c>
      <c r="L229" s="286"/>
      <c r="M229" s="286" t="s">
        <v>60</v>
      </c>
      <c r="N229" s="286"/>
      <c r="O229" s="286" t="s">
        <v>61</v>
      </c>
      <c r="P229" s="302">
        <f>PRODUCT(F229:N229)</f>
        <v>3.22785</v>
      </c>
    </row>
    <row r="230" ht="31.5" spans="1:16">
      <c r="A230" s="280"/>
      <c r="B230" s="280"/>
      <c r="C230" s="284"/>
      <c r="D230" s="288" t="s">
        <v>98</v>
      </c>
      <c r="E230" s="280"/>
      <c r="F230" s="283">
        <f>(1+((6.65+23.23)/2))*0.45</f>
        <v>7.173</v>
      </c>
      <c r="G230" s="286" t="s">
        <v>60</v>
      </c>
      <c r="H230" s="321">
        <v>0.5</v>
      </c>
      <c r="I230" s="286" t="s">
        <v>60</v>
      </c>
      <c r="J230" s="286">
        <v>0.45</v>
      </c>
      <c r="K230" s="286" t="s">
        <v>60</v>
      </c>
      <c r="L230" s="286"/>
      <c r="M230" s="286" t="s">
        <v>60</v>
      </c>
      <c r="N230" s="286">
        <v>2</v>
      </c>
      <c r="O230" s="286" t="s">
        <v>61</v>
      </c>
      <c r="P230" s="302">
        <f>PRODUCT(F230:N230)</f>
        <v>3.22785</v>
      </c>
    </row>
    <row r="231" ht="15.75" spans="1:16">
      <c r="A231" s="280"/>
      <c r="B231" s="280"/>
      <c r="C231" s="284"/>
      <c r="D231" s="288"/>
      <c r="E231" s="280"/>
      <c r="F231" s="283"/>
      <c r="G231" s="286"/>
      <c r="H231" s="286"/>
      <c r="I231" s="286"/>
      <c r="J231" s="286"/>
      <c r="K231" s="286"/>
      <c r="L231" s="286"/>
      <c r="M231" s="286"/>
      <c r="N231" s="286"/>
      <c r="O231" s="286"/>
      <c r="P231" s="302"/>
    </row>
    <row r="232" ht="15.75" spans="1:16">
      <c r="A232" s="280"/>
      <c r="B232" s="280"/>
      <c r="C232" s="284"/>
      <c r="D232" s="285"/>
      <c r="E232" s="280"/>
      <c r="F232" s="283"/>
      <c r="G232" s="286"/>
      <c r="H232" s="286"/>
      <c r="I232" s="286"/>
      <c r="J232" s="286"/>
      <c r="K232" s="286"/>
      <c r="L232" s="286"/>
      <c r="M232" s="286"/>
      <c r="N232" s="300" t="s">
        <v>27</v>
      </c>
      <c r="O232" s="283" t="s">
        <v>61</v>
      </c>
      <c r="P232" s="301">
        <f>ROUND(SUM(P226:P230),2)</f>
        <v>14.7</v>
      </c>
    </row>
    <row r="233" ht="15.75" spans="1:16">
      <c r="A233" s="269"/>
      <c r="B233" s="319"/>
      <c r="C233" s="320"/>
      <c r="D233" s="269"/>
      <c r="E233" s="319"/>
      <c r="F233" s="320"/>
      <c r="G233" s="269"/>
      <c r="H233" s="319"/>
      <c r="I233" s="320"/>
      <c r="J233" s="269"/>
      <c r="K233" s="319"/>
      <c r="L233" s="320"/>
      <c r="M233" s="269"/>
      <c r="N233" s="319"/>
      <c r="O233" s="320"/>
      <c r="P233" s="269"/>
    </row>
    <row r="234" ht="78.75" spans="1:16">
      <c r="A234" s="285" t="s">
        <v>128</v>
      </c>
      <c r="B234" s="310" t="s">
        <v>57</v>
      </c>
      <c r="C234" s="316">
        <v>92543</v>
      </c>
      <c r="D234" s="282" t="s">
        <v>129</v>
      </c>
      <c r="E234" s="280" t="s">
        <v>66</v>
      </c>
      <c r="F234" s="283"/>
      <c r="G234" s="283"/>
      <c r="H234" s="283"/>
      <c r="I234" s="283"/>
      <c r="J234" s="300"/>
      <c r="K234" s="283"/>
      <c r="L234" s="300"/>
      <c r="M234" s="283"/>
      <c r="N234" s="300"/>
      <c r="O234" s="283"/>
      <c r="P234" s="301"/>
    </row>
    <row r="235" ht="15.75" spans="1:16">
      <c r="A235" s="280"/>
      <c r="B235" s="280"/>
      <c r="C235" s="281"/>
      <c r="D235" s="282"/>
      <c r="E235" s="280"/>
      <c r="F235" s="283"/>
      <c r="G235" s="283"/>
      <c r="H235" s="283"/>
      <c r="I235" s="283"/>
      <c r="J235" s="300"/>
      <c r="K235" s="283"/>
      <c r="L235" s="300"/>
      <c r="M235" s="283"/>
      <c r="N235" s="300"/>
      <c r="O235" s="283"/>
      <c r="P235" s="301"/>
    </row>
    <row r="236" ht="32" customHeight="1" spans="1:16">
      <c r="A236" s="280"/>
      <c r="B236" s="280"/>
      <c r="C236" s="284"/>
      <c r="D236" s="288" t="s">
        <v>96</v>
      </c>
      <c r="E236" s="280"/>
      <c r="F236" s="283">
        <f>420.16</f>
        <v>420.16</v>
      </c>
      <c r="G236" s="286" t="s">
        <v>60</v>
      </c>
      <c r="H236" s="315"/>
      <c r="I236" s="286" t="s">
        <v>60</v>
      </c>
      <c r="J236" s="286"/>
      <c r="K236" s="286" t="s">
        <v>60</v>
      </c>
      <c r="L236" s="286"/>
      <c r="M236" s="286" t="s">
        <v>60</v>
      </c>
      <c r="N236" s="286"/>
      <c r="O236" s="286" t="s">
        <v>61</v>
      </c>
      <c r="P236" s="302">
        <f>PRODUCT(F236:N236)</f>
        <v>420.16</v>
      </c>
    </row>
    <row r="237" ht="31.5" spans="1:16">
      <c r="A237" s="280"/>
      <c r="B237" s="280"/>
      <c r="C237" s="284"/>
      <c r="D237" s="288" t="s">
        <v>97</v>
      </c>
      <c r="E237" s="280"/>
      <c r="F237" s="283">
        <f>24.75+33.99+26.68+40.96</f>
        <v>126.38</v>
      </c>
      <c r="G237" s="286" t="s">
        <v>60</v>
      </c>
      <c r="H237" s="315"/>
      <c r="I237" s="286" t="s">
        <v>60</v>
      </c>
      <c r="J237" s="286"/>
      <c r="K237" s="286" t="s">
        <v>60</v>
      </c>
      <c r="L237" s="286"/>
      <c r="M237" s="286" t="s">
        <v>60</v>
      </c>
      <c r="N237" s="286"/>
      <c r="O237" s="286" t="s">
        <v>61</v>
      </c>
      <c r="P237" s="302">
        <f>PRODUCT(F237:N237)</f>
        <v>126.38</v>
      </c>
    </row>
    <row r="238" ht="31.5" spans="1:16">
      <c r="A238" s="280"/>
      <c r="B238" s="280"/>
      <c r="C238" s="284"/>
      <c r="D238" s="288" t="s">
        <v>98</v>
      </c>
      <c r="E238" s="280"/>
      <c r="F238" s="283">
        <f>421.81-11.5</f>
        <v>410.31</v>
      </c>
      <c r="G238" s="286" t="s">
        <v>60</v>
      </c>
      <c r="H238" s="315"/>
      <c r="I238" s="286" t="s">
        <v>60</v>
      </c>
      <c r="J238" s="286"/>
      <c r="K238" s="286" t="s">
        <v>60</v>
      </c>
      <c r="L238" s="286"/>
      <c r="M238" s="286" t="s">
        <v>60</v>
      </c>
      <c r="N238" s="286"/>
      <c r="O238" s="286" t="s">
        <v>61</v>
      </c>
      <c r="P238" s="302">
        <f>PRODUCT(F238:N238)</f>
        <v>410.31</v>
      </c>
    </row>
    <row r="239" ht="15.75" spans="1:16">
      <c r="A239" s="280"/>
      <c r="B239" s="280"/>
      <c r="C239" s="284"/>
      <c r="D239" s="288"/>
      <c r="E239" s="280"/>
      <c r="F239" s="283"/>
      <c r="G239" s="286"/>
      <c r="H239" s="286"/>
      <c r="I239" s="286"/>
      <c r="J239" s="286"/>
      <c r="K239" s="286"/>
      <c r="L239" s="286"/>
      <c r="M239" s="286"/>
      <c r="N239" s="286"/>
      <c r="O239" s="286"/>
      <c r="P239" s="302"/>
    </row>
    <row r="240" ht="15.75" spans="1:16">
      <c r="A240" s="280"/>
      <c r="B240" s="280"/>
      <c r="C240" s="284"/>
      <c r="D240" s="285"/>
      <c r="E240" s="280"/>
      <c r="F240" s="283"/>
      <c r="G240" s="286"/>
      <c r="H240" s="286"/>
      <c r="I240" s="286"/>
      <c r="J240" s="286"/>
      <c r="K240" s="286"/>
      <c r="L240" s="286"/>
      <c r="M240" s="286"/>
      <c r="N240" s="300" t="s">
        <v>27</v>
      </c>
      <c r="O240" s="283" t="s">
        <v>61</v>
      </c>
      <c r="P240" s="301">
        <f>ROUND(SUM(P236:P238),2)</f>
        <v>956.85</v>
      </c>
    </row>
    <row r="241" ht="15.75" spans="1:16">
      <c r="A241" s="280"/>
      <c r="B241" s="280"/>
      <c r="C241" s="284"/>
      <c r="D241" s="285"/>
      <c r="E241" s="280"/>
      <c r="F241" s="283"/>
      <c r="G241" s="286"/>
      <c r="H241" s="286"/>
      <c r="I241" s="286"/>
      <c r="J241" s="286"/>
      <c r="K241" s="286"/>
      <c r="L241" s="286"/>
      <c r="M241" s="286"/>
      <c r="N241" s="300"/>
      <c r="O241" s="283"/>
      <c r="P241" s="301"/>
    </row>
    <row r="242" ht="78.75" spans="1:16">
      <c r="A242" s="285" t="s">
        <v>130</v>
      </c>
      <c r="B242" s="285" t="s">
        <v>131</v>
      </c>
      <c r="C242" s="285" t="s">
        <v>132</v>
      </c>
      <c r="D242" s="282" t="s">
        <v>133</v>
      </c>
      <c r="E242" s="280" t="s">
        <v>66</v>
      </c>
      <c r="F242" s="283"/>
      <c r="G242" s="283"/>
      <c r="H242" s="283"/>
      <c r="I242" s="283"/>
      <c r="J242" s="300"/>
      <c r="K242" s="283"/>
      <c r="L242" s="300"/>
      <c r="M242" s="283"/>
      <c r="N242" s="300"/>
      <c r="O242" s="283"/>
      <c r="P242" s="301"/>
    </row>
    <row r="243" ht="15.75" spans="1:16">
      <c r="A243" s="280"/>
      <c r="B243" s="280"/>
      <c r="C243" s="281"/>
      <c r="D243" s="282"/>
      <c r="E243" s="280"/>
      <c r="F243" s="283"/>
      <c r="G243" s="283"/>
      <c r="H243" s="283"/>
      <c r="I243" s="283"/>
      <c r="J243" s="300"/>
      <c r="K243" s="283"/>
      <c r="L243" s="300"/>
      <c r="M243" s="283"/>
      <c r="N243" s="300"/>
      <c r="O243" s="283"/>
      <c r="P243" s="301"/>
    </row>
    <row r="244" ht="15.75" spans="1:16">
      <c r="A244" s="280"/>
      <c r="B244" s="280"/>
      <c r="C244" s="284"/>
      <c r="D244" s="288" t="s">
        <v>134</v>
      </c>
      <c r="E244" s="280"/>
      <c r="F244" s="283">
        <v>2.9</v>
      </c>
      <c r="G244" s="286" t="s">
        <v>60</v>
      </c>
      <c r="H244" s="321">
        <v>1.5</v>
      </c>
      <c r="I244" s="286" t="s">
        <v>60</v>
      </c>
      <c r="J244" s="286"/>
      <c r="K244" s="286" t="s">
        <v>60</v>
      </c>
      <c r="L244" s="286"/>
      <c r="M244" s="286" t="s">
        <v>60</v>
      </c>
      <c r="N244" s="286"/>
      <c r="O244" s="286" t="s">
        <v>61</v>
      </c>
      <c r="P244" s="302">
        <f>PRODUCT(F244:N244)</f>
        <v>4.35</v>
      </c>
    </row>
    <row r="245" ht="15.75" spans="1:16">
      <c r="A245" s="280"/>
      <c r="B245" s="280"/>
      <c r="C245" s="284"/>
      <c r="D245" s="288"/>
      <c r="E245" s="280"/>
      <c r="F245" s="283"/>
      <c r="G245" s="286"/>
      <c r="H245" s="286"/>
      <c r="I245" s="286"/>
      <c r="J245" s="286"/>
      <c r="K245" s="286"/>
      <c r="L245" s="286"/>
      <c r="M245" s="286"/>
      <c r="N245" s="286"/>
      <c r="O245" s="286"/>
      <c r="P245" s="302"/>
    </row>
    <row r="246" ht="15.75" spans="1:16">
      <c r="A246" s="280"/>
      <c r="B246" s="280"/>
      <c r="C246" s="284"/>
      <c r="D246" s="285"/>
      <c r="E246" s="280"/>
      <c r="F246" s="283"/>
      <c r="G246" s="286"/>
      <c r="H246" s="286"/>
      <c r="I246" s="286"/>
      <c r="J246" s="286"/>
      <c r="K246" s="286"/>
      <c r="L246" s="286"/>
      <c r="M246" s="286"/>
      <c r="N246" s="300" t="s">
        <v>27</v>
      </c>
      <c r="O246" s="283" t="s">
        <v>61</v>
      </c>
      <c r="P246" s="301">
        <f>ROUND(SUM(P244:P244),2)</f>
        <v>4.35</v>
      </c>
    </row>
    <row r="247" ht="15.75" spans="1:16">
      <c r="A247" s="280"/>
      <c r="B247" s="280"/>
      <c r="C247" s="284"/>
      <c r="D247" s="285"/>
      <c r="E247" s="280"/>
      <c r="F247" s="283"/>
      <c r="G247" s="286"/>
      <c r="H247" s="286"/>
      <c r="I247" s="286"/>
      <c r="J247" s="286"/>
      <c r="K247" s="286"/>
      <c r="L247" s="286"/>
      <c r="M247" s="286"/>
      <c r="N247" s="300"/>
      <c r="O247" s="283"/>
      <c r="P247" s="301"/>
    </row>
    <row r="248" ht="94.5" spans="1:16">
      <c r="A248" s="313" t="s">
        <v>135</v>
      </c>
      <c r="B248" s="316" t="s">
        <v>64</v>
      </c>
      <c r="C248" s="281">
        <v>13</v>
      </c>
      <c r="D248" s="322" t="str">
        <f>COMPOSIÇÕES!A258</f>
        <v>TELHAMENTO COM TELHA ONDULADA DE FIBROCIMENTO E = 8 MM, COM RECOBRIMENTO LATERAL DE 1 1/4 DE ONDA PARA TELHADO COM INCLINAÇÃO MÁXIMA DE 10°, COM ATÉ 2 ÁGUAS, INCLUSO IÇAMENTO. AF_07/2019</v>
      </c>
      <c r="E248" s="313" t="s">
        <v>66</v>
      </c>
      <c r="F248" s="323"/>
      <c r="G248" s="283"/>
      <c r="H248" s="283"/>
      <c r="I248" s="283"/>
      <c r="J248" s="300"/>
      <c r="K248" s="283"/>
      <c r="L248" s="300"/>
      <c r="M248" s="283"/>
      <c r="N248" s="300"/>
      <c r="O248" s="283"/>
      <c r="P248" s="301"/>
    </row>
    <row r="249" ht="15.75" spans="1:16">
      <c r="A249" s="280"/>
      <c r="B249" s="280"/>
      <c r="C249" s="281"/>
      <c r="D249" s="282"/>
      <c r="E249" s="280"/>
      <c r="F249" s="283"/>
      <c r="G249" s="283"/>
      <c r="H249" s="283"/>
      <c r="I249" s="283"/>
      <c r="J249" s="300"/>
      <c r="K249" s="283"/>
      <c r="L249" s="300"/>
      <c r="M249" s="283"/>
      <c r="N249" s="300"/>
      <c r="O249" s="283"/>
      <c r="P249" s="301"/>
    </row>
    <row r="250" ht="31.5" spans="1:16">
      <c r="A250" s="280"/>
      <c r="B250" s="280"/>
      <c r="C250" s="284"/>
      <c r="D250" s="288" t="s">
        <v>96</v>
      </c>
      <c r="E250" s="280"/>
      <c r="F250" s="283">
        <f>420.16</f>
        <v>420.16</v>
      </c>
      <c r="G250" s="286" t="s">
        <v>60</v>
      </c>
      <c r="H250" s="315"/>
      <c r="I250" s="286" t="s">
        <v>60</v>
      </c>
      <c r="J250" s="286"/>
      <c r="K250" s="286" t="s">
        <v>60</v>
      </c>
      <c r="L250" s="286"/>
      <c r="M250" s="286" t="s">
        <v>60</v>
      </c>
      <c r="N250" s="286"/>
      <c r="O250" s="286" t="s">
        <v>61</v>
      </c>
      <c r="P250" s="302">
        <f>PRODUCT(F250:N250)</f>
        <v>420.16</v>
      </c>
    </row>
    <row r="251" ht="31.5" spans="1:16">
      <c r="A251" s="280"/>
      <c r="B251" s="280"/>
      <c r="C251" s="284"/>
      <c r="D251" s="288" t="s">
        <v>97</v>
      </c>
      <c r="E251" s="280"/>
      <c r="F251" s="283">
        <f>24.75+33.99+26.68+40.96</f>
        <v>126.38</v>
      </c>
      <c r="G251" s="286" t="s">
        <v>60</v>
      </c>
      <c r="H251" s="315"/>
      <c r="I251" s="286" t="s">
        <v>60</v>
      </c>
      <c r="J251" s="286"/>
      <c r="K251" s="286" t="s">
        <v>60</v>
      </c>
      <c r="L251" s="286"/>
      <c r="M251" s="286" t="s">
        <v>60</v>
      </c>
      <c r="N251" s="286"/>
      <c r="O251" s="286" t="s">
        <v>61</v>
      </c>
      <c r="P251" s="302">
        <f>PRODUCT(F251:N251)</f>
        <v>126.38</v>
      </c>
    </row>
    <row r="252" ht="31.5" spans="1:16">
      <c r="A252" s="280"/>
      <c r="B252" s="280"/>
      <c r="C252" s="284"/>
      <c r="D252" s="288" t="s">
        <v>98</v>
      </c>
      <c r="E252" s="280"/>
      <c r="F252" s="283">
        <f>421.81-11.5</f>
        <v>410.31</v>
      </c>
      <c r="G252" s="286" t="s">
        <v>60</v>
      </c>
      <c r="H252" s="315"/>
      <c r="I252" s="286" t="s">
        <v>60</v>
      </c>
      <c r="J252" s="286"/>
      <c r="K252" s="286" t="s">
        <v>60</v>
      </c>
      <c r="L252" s="286"/>
      <c r="M252" s="286" t="s">
        <v>60</v>
      </c>
      <c r="N252" s="286"/>
      <c r="O252" s="286" t="s">
        <v>61</v>
      </c>
      <c r="P252" s="302">
        <f>PRODUCT(F252:N252)</f>
        <v>410.31</v>
      </c>
    </row>
    <row r="253" ht="15.75" spans="1:16">
      <c r="A253" s="280"/>
      <c r="B253" s="280"/>
      <c r="C253" s="284"/>
      <c r="D253" s="288"/>
      <c r="E253" s="280"/>
      <c r="F253" s="283"/>
      <c r="G253" s="286"/>
      <c r="H253" s="286"/>
      <c r="I253" s="286"/>
      <c r="J253" s="286"/>
      <c r="K253" s="286"/>
      <c r="L253" s="286"/>
      <c r="M253" s="286"/>
      <c r="N253" s="286"/>
      <c r="O253" s="286"/>
      <c r="P253" s="302"/>
    </row>
    <row r="254" ht="15.75" spans="1:16">
      <c r="A254" s="280"/>
      <c r="B254" s="280"/>
      <c r="C254" s="284"/>
      <c r="D254" s="285"/>
      <c r="E254" s="280"/>
      <c r="F254" s="283"/>
      <c r="G254" s="286"/>
      <c r="H254" s="286"/>
      <c r="I254" s="286"/>
      <c r="J254" s="286"/>
      <c r="K254" s="286"/>
      <c r="L254" s="286"/>
      <c r="M254" s="286"/>
      <c r="N254" s="300" t="s">
        <v>27</v>
      </c>
      <c r="O254" s="283" t="s">
        <v>61</v>
      </c>
      <c r="P254" s="301">
        <f>ROUND(SUM(P250:P252),2)</f>
        <v>956.85</v>
      </c>
    </row>
    <row r="255" ht="15.75" spans="1:16">
      <c r="A255" s="280"/>
      <c r="B255" s="280"/>
      <c r="C255" s="284"/>
      <c r="D255" s="285"/>
      <c r="E255" s="280"/>
      <c r="F255" s="283"/>
      <c r="G255" s="286"/>
      <c r="H255" s="286"/>
      <c r="I255" s="286"/>
      <c r="J255" s="286"/>
      <c r="K255" s="286"/>
      <c r="L255" s="286"/>
      <c r="M255" s="286"/>
      <c r="N255" s="300"/>
      <c r="O255" s="283"/>
      <c r="P255" s="301"/>
    </row>
    <row r="256" ht="63" spans="1:16">
      <c r="A256" s="280" t="s">
        <v>136</v>
      </c>
      <c r="B256" s="310" t="s">
        <v>57</v>
      </c>
      <c r="C256" s="281">
        <v>94451</v>
      </c>
      <c r="D256" s="282" t="s">
        <v>137</v>
      </c>
      <c r="E256" s="280" t="s">
        <v>70</v>
      </c>
      <c r="F256" s="283"/>
      <c r="G256" s="283"/>
      <c r="H256" s="283"/>
      <c r="I256" s="283"/>
      <c r="J256" s="300"/>
      <c r="K256" s="283"/>
      <c r="L256" s="300"/>
      <c r="M256" s="283"/>
      <c r="N256" s="300"/>
      <c r="O256" s="283"/>
      <c r="P256" s="301"/>
    </row>
    <row r="257" ht="15.75" spans="1:16">
      <c r="A257" s="280"/>
      <c r="B257" s="280"/>
      <c r="C257" s="281"/>
      <c r="D257" s="282"/>
      <c r="E257" s="280"/>
      <c r="F257" s="283"/>
      <c r="G257" s="283"/>
      <c r="H257" s="283"/>
      <c r="I257" s="283"/>
      <c r="J257" s="300"/>
      <c r="K257" s="283"/>
      <c r="L257" s="300"/>
      <c r="M257" s="283"/>
      <c r="N257" s="300"/>
      <c r="O257" s="283"/>
      <c r="P257" s="301"/>
    </row>
    <row r="258" ht="31.5" spans="1:16">
      <c r="A258" s="280"/>
      <c r="B258" s="280"/>
      <c r="C258" s="284"/>
      <c r="D258" s="288" t="s">
        <v>96</v>
      </c>
      <c r="E258" s="280"/>
      <c r="F258" s="283">
        <f>32.82</f>
        <v>32.82</v>
      </c>
      <c r="G258" s="286" t="s">
        <v>60</v>
      </c>
      <c r="H258" s="315"/>
      <c r="I258" s="286" t="s">
        <v>60</v>
      </c>
      <c r="J258" s="286"/>
      <c r="K258" s="286" t="s">
        <v>60</v>
      </c>
      <c r="L258" s="286"/>
      <c r="M258" s="286" t="s">
        <v>60</v>
      </c>
      <c r="N258" s="286"/>
      <c r="O258" s="286" t="s">
        <v>61</v>
      </c>
      <c r="P258" s="302">
        <f>PRODUCT(F258:N258)</f>
        <v>32.82</v>
      </c>
    </row>
    <row r="259" ht="31.5" spans="1:16">
      <c r="A259" s="280"/>
      <c r="B259" s="280"/>
      <c r="C259" s="284"/>
      <c r="D259" s="288" t="s">
        <v>97</v>
      </c>
      <c r="E259" s="280"/>
      <c r="F259" s="283">
        <f>16.5+16.5+8+8+5.35+5.35</f>
        <v>59.7</v>
      </c>
      <c r="G259" s="286" t="s">
        <v>60</v>
      </c>
      <c r="H259" s="315"/>
      <c r="I259" s="286" t="s">
        <v>60</v>
      </c>
      <c r="J259" s="286"/>
      <c r="K259" s="286" t="s">
        <v>60</v>
      </c>
      <c r="L259" s="286"/>
      <c r="M259" s="286" t="s">
        <v>60</v>
      </c>
      <c r="N259" s="286"/>
      <c r="O259" s="286" t="s">
        <v>61</v>
      </c>
      <c r="P259" s="302">
        <f>PRODUCT(F259:N259)</f>
        <v>59.7</v>
      </c>
    </row>
    <row r="260" ht="31.5" spans="1:16">
      <c r="A260" s="280"/>
      <c r="B260" s="280"/>
      <c r="C260" s="284"/>
      <c r="D260" s="288" t="s">
        <v>98</v>
      </c>
      <c r="E260" s="280"/>
      <c r="F260" s="283">
        <f>32.83</f>
        <v>32.83</v>
      </c>
      <c r="G260" s="286" t="s">
        <v>60</v>
      </c>
      <c r="H260" s="315"/>
      <c r="I260" s="286" t="s">
        <v>60</v>
      </c>
      <c r="J260" s="286"/>
      <c r="K260" s="286" t="s">
        <v>60</v>
      </c>
      <c r="L260" s="286"/>
      <c r="M260" s="286" t="s">
        <v>60</v>
      </c>
      <c r="N260" s="286"/>
      <c r="O260" s="286" t="s">
        <v>61</v>
      </c>
      <c r="P260" s="302">
        <f>PRODUCT(F260:N260)</f>
        <v>32.83</v>
      </c>
    </row>
    <row r="261" ht="15.75" spans="1:16">
      <c r="A261" s="280"/>
      <c r="B261" s="280"/>
      <c r="C261" s="284"/>
      <c r="D261" s="288" t="s">
        <v>138</v>
      </c>
      <c r="E261" s="280"/>
      <c r="F261" s="283">
        <f>4.5+4.5</f>
        <v>9</v>
      </c>
      <c r="G261" s="286" t="s">
        <v>60</v>
      </c>
      <c r="H261" s="315"/>
      <c r="I261" s="286" t="s">
        <v>60</v>
      </c>
      <c r="J261" s="286"/>
      <c r="K261" s="286" t="s">
        <v>60</v>
      </c>
      <c r="L261" s="286"/>
      <c r="M261" s="286" t="s">
        <v>60</v>
      </c>
      <c r="N261" s="286"/>
      <c r="O261" s="286" t="s">
        <v>61</v>
      </c>
      <c r="P261" s="302">
        <f>PRODUCT(F261:N261)</f>
        <v>9</v>
      </c>
    </row>
    <row r="262" ht="15.75" spans="1:16">
      <c r="A262" s="280"/>
      <c r="B262" s="280"/>
      <c r="C262" s="284"/>
      <c r="D262" s="288"/>
      <c r="E262" s="280"/>
      <c r="F262" s="283"/>
      <c r="G262" s="286"/>
      <c r="H262" s="286"/>
      <c r="I262" s="286"/>
      <c r="J262" s="286"/>
      <c r="K262" s="286"/>
      <c r="L262" s="286"/>
      <c r="M262" s="286"/>
      <c r="N262" s="286"/>
      <c r="O262" s="286"/>
      <c r="P262" s="302"/>
    </row>
    <row r="263" ht="15.75" spans="1:16">
      <c r="A263" s="280"/>
      <c r="B263" s="280"/>
      <c r="C263" s="284"/>
      <c r="D263" s="285"/>
      <c r="E263" s="280"/>
      <c r="F263" s="283"/>
      <c r="G263" s="286"/>
      <c r="H263" s="286"/>
      <c r="I263" s="286"/>
      <c r="J263" s="286"/>
      <c r="K263" s="286"/>
      <c r="L263" s="286"/>
      <c r="M263" s="286"/>
      <c r="N263" s="300" t="s">
        <v>27</v>
      </c>
      <c r="O263" s="283" t="s">
        <v>61</v>
      </c>
      <c r="P263" s="301">
        <f>ROUND(SUM(P258:P261),2)</f>
        <v>134.35</v>
      </c>
    </row>
    <row r="264" ht="15.75" spans="1:16">
      <c r="A264" s="280"/>
      <c r="B264" s="280"/>
      <c r="C264" s="284"/>
      <c r="D264" s="285"/>
      <c r="E264" s="280"/>
      <c r="F264" s="283"/>
      <c r="G264" s="286"/>
      <c r="H264" s="286"/>
      <c r="I264" s="286"/>
      <c r="J264" s="286"/>
      <c r="K264" s="286"/>
      <c r="L264" s="286"/>
      <c r="M264" s="286"/>
      <c r="N264" s="300"/>
      <c r="O264" s="283"/>
      <c r="P264" s="301"/>
    </row>
    <row r="265" ht="94.5" spans="1:16">
      <c r="A265" s="280" t="s">
        <v>139</v>
      </c>
      <c r="B265" s="285" t="s">
        <v>64</v>
      </c>
      <c r="C265" s="281">
        <v>8</v>
      </c>
      <c r="D265" s="282" t="str">
        <f>COMPOSIÇÕES!A145</f>
        <v>CALHA DE TIJOLOS MACIÇOS PRENSADOS PARA CONFECÇÃO DE PAREDE DE CALHA, ASSENTADOS E REJUNTADOS COM ARGAMASSA DE CIMENTO E AREIA NO TRAÇO 1:2:8 - 1 VEZ, CHAPISCAOS E REBOCADOS</v>
      </c>
      <c r="E265" s="280" t="s">
        <v>66</v>
      </c>
      <c r="F265" s="283"/>
      <c r="G265" s="283"/>
      <c r="H265" s="283"/>
      <c r="I265" s="283"/>
      <c r="J265" s="300"/>
      <c r="K265" s="283"/>
      <c r="L265" s="300"/>
      <c r="M265" s="283"/>
      <c r="N265" s="300"/>
      <c r="O265" s="283"/>
      <c r="P265" s="301"/>
    </row>
    <row r="266" ht="15.75" spans="1:16">
      <c r="A266" s="280"/>
      <c r="B266" s="280"/>
      <c r="C266" s="281"/>
      <c r="D266" s="282"/>
      <c r="E266" s="280"/>
      <c r="F266" s="283"/>
      <c r="G266" s="283"/>
      <c r="H266" s="283"/>
      <c r="I266" s="283"/>
      <c r="J266" s="300"/>
      <c r="K266" s="283"/>
      <c r="L266" s="300"/>
      <c r="M266" s="283"/>
      <c r="N266" s="300"/>
      <c r="O266" s="283"/>
      <c r="P266" s="301"/>
    </row>
    <row r="267" ht="15.75" spans="1:16">
      <c r="A267" s="280"/>
      <c r="B267" s="280"/>
      <c r="C267" s="284"/>
      <c r="D267" s="288" t="s">
        <v>140</v>
      </c>
      <c r="E267" s="280"/>
      <c r="F267" s="283">
        <f>5.39+5.39</f>
        <v>10.78</v>
      </c>
      <c r="G267" s="286" t="s">
        <v>60</v>
      </c>
      <c r="H267" s="321">
        <v>0.32</v>
      </c>
      <c r="I267" s="286" t="s">
        <v>60</v>
      </c>
      <c r="J267" s="286"/>
      <c r="K267" s="286" t="s">
        <v>60</v>
      </c>
      <c r="L267" s="286"/>
      <c r="M267" s="286" t="s">
        <v>60</v>
      </c>
      <c r="N267" s="286"/>
      <c r="O267" s="286" t="s">
        <v>61</v>
      </c>
      <c r="P267" s="302">
        <f>PRODUCT(F267:N267)</f>
        <v>3.4496</v>
      </c>
    </row>
    <row r="268" ht="15.75" spans="1:16">
      <c r="A268" s="280"/>
      <c r="B268" s="280"/>
      <c r="C268" s="284"/>
      <c r="D268" s="288" t="s">
        <v>141</v>
      </c>
      <c r="E268" s="280"/>
      <c r="F268" s="283">
        <f>16.5*2</f>
        <v>33</v>
      </c>
      <c r="G268" s="286" t="s">
        <v>60</v>
      </c>
      <c r="H268" s="321">
        <f>0.32/2</f>
        <v>0.16</v>
      </c>
      <c r="I268" s="286" t="s">
        <v>60</v>
      </c>
      <c r="J268" s="286"/>
      <c r="K268" s="286" t="s">
        <v>60</v>
      </c>
      <c r="L268" s="286"/>
      <c r="M268" s="286" t="s">
        <v>60</v>
      </c>
      <c r="N268" s="286"/>
      <c r="O268" s="286" t="s">
        <v>61</v>
      </c>
      <c r="P268" s="302">
        <f>PRODUCT(F268:N268)</f>
        <v>5.28</v>
      </c>
    </row>
    <row r="269" ht="15.75" spans="1:16">
      <c r="A269" s="280"/>
      <c r="B269" s="280"/>
      <c r="C269" s="284"/>
      <c r="D269" s="288" t="s">
        <v>142</v>
      </c>
      <c r="E269" s="280"/>
      <c r="F269" s="283">
        <f>32.82*2</f>
        <v>65.64</v>
      </c>
      <c r="G269" s="286" t="s">
        <v>60</v>
      </c>
      <c r="H269" s="321">
        <f>0.32/2</f>
        <v>0.16</v>
      </c>
      <c r="I269" s="286" t="s">
        <v>60</v>
      </c>
      <c r="J269" s="286"/>
      <c r="K269" s="286" t="s">
        <v>60</v>
      </c>
      <c r="L269" s="286"/>
      <c r="M269" s="286" t="s">
        <v>60</v>
      </c>
      <c r="N269" s="286"/>
      <c r="O269" s="286" t="s">
        <v>61</v>
      </c>
      <c r="P269" s="302">
        <f>PRODUCT(F269:N269)</f>
        <v>10.5024</v>
      </c>
    </row>
    <row r="270" ht="15.75" spans="1:16">
      <c r="A270" s="280"/>
      <c r="B270" s="280"/>
      <c r="C270" s="284"/>
      <c r="D270" s="288" t="s">
        <v>143</v>
      </c>
      <c r="E270" s="280"/>
      <c r="F270" s="283">
        <f>32.83*2</f>
        <v>65.66</v>
      </c>
      <c r="G270" s="286" t="s">
        <v>60</v>
      </c>
      <c r="H270" s="321">
        <f>0.32/2</f>
        <v>0.16</v>
      </c>
      <c r="I270" s="286" t="s">
        <v>60</v>
      </c>
      <c r="J270" s="286"/>
      <c r="K270" s="286" t="s">
        <v>60</v>
      </c>
      <c r="L270" s="286"/>
      <c r="M270" s="286" t="s">
        <v>60</v>
      </c>
      <c r="N270" s="286"/>
      <c r="O270" s="286" t="s">
        <v>61</v>
      </c>
      <c r="P270" s="302">
        <f>PRODUCT(F270:N270)</f>
        <v>10.5056</v>
      </c>
    </row>
    <row r="271" ht="15.75" spans="1:16">
      <c r="A271" s="280"/>
      <c r="B271" s="280"/>
      <c r="C271" s="284"/>
      <c r="D271" s="288"/>
      <c r="E271" s="280"/>
      <c r="F271" s="283"/>
      <c r="G271" s="286"/>
      <c r="H271" s="286"/>
      <c r="I271" s="286"/>
      <c r="J271" s="286"/>
      <c r="K271" s="286"/>
      <c r="L271" s="286"/>
      <c r="M271" s="286"/>
      <c r="N271" s="286"/>
      <c r="O271" s="286"/>
      <c r="P271" s="302"/>
    </row>
    <row r="272" ht="15.75" spans="1:16">
      <c r="A272" s="280"/>
      <c r="B272" s="280"/>
      <c r="C272" s="284"/>
      <c r="D272" s="285"/>
      <c r="E272" s="280"/>
      <c r="F272" s="283"/>
      <c r="G272" s="286"/>
      <c r="H272" s="286"/>
      <c r="I272" s="286"/>
      <c r="J272" s="286"/>
      <c r="K272" s="286"/>
      <c r="L272" s="286"/>
      <c r="M272" s="286"/>
      <c r="N272" s="300" t="s">
        <v>27</v>
      </c>
      <c r="O272" s="283" t="s">
        <v>61</v>
      </c>
      <c r="P272" s="301">
        <f>ROUND(SUM(P267:P270),2)</f>
        <v>29.74</v>
      </c>
    </row>
    <row r="273" ht="15.75" spans="1:16">
      <c r="A273" s="280"/>
      <c r="B273" s="280"/>
      <c r="C273" s="284"/>
      <c r="D273" s="285"/>
      <c r="E273" s="280"/>
      <c r="F273" s="283"/>
      <c r="G273" s="286"/>
      <c r="H273" s="286"/>
      <c r="I273" s="286"/>
      <c r="J273" s="286"/>
      <c r="K273" s="286"/>
      <c r="L273" s="286"/>
      <c r="M273" s="286"/>
      <c r="N273" s="300"/>
      <c r="O273" s="283"/>
      <c r="P273" s="301"/>
    </row>
    <row r="274" ht="47.25" spans="1:16">
      <c r="A274" s="280" t="s">
        <v>144</v>
      </c>
      <c r="B274" s="310" t="s">
        <v>57</v>
      </c>
      <c r="C274" s="281">
        <v>95241</v>
      </c>
      <c r="D274" s="282" t="s">
        <v>145</v>
      </c>
      <c r="E274" s="280" t="s">
        <v>66</v>
      </c>
      <c r="F274" s="283"/>
      <c r="G274" s="283"/>
      <c r="H274" s="283"/>
      <c r="I274" s="283"/>
      <c r="J274" s="300"/>
      <c r="K274" s="283"/>
      <c r="L274" s="300"/>
      <c r="M274" s="283"/>
      <c r="N274" s="300"/>
      <c r="O274" s="283"/>
      <c r="P274" s="301"/>
    </row>
    <row r="275" ht="15.75" spans="1:16">
      <c r="A275" s="280"/>
      <c r="B275" s="280"/>
      <c r="C275" s="281"/>
      <c r="D275" s="282"/>
      <c r="E275" s="280"/>
      <c r="F275" s="283"/>
      <c r="G275" s="283"/>
      <c r="H275" s="283"/>
      <c r="I275" s="283"/>
      <c r="J275" s="300"/>
      <c r="K275" s="283"/>
      <c r="L275" s="300"/>
      <c r="M275" s="283"/>
      <c r="N275" s="300"/>
      <c r="O275" s="283"/>
      <c r="P275" s="301"/>
    </row>
    <row r="276" ht="94.5" spans="1:16">
      <c r="A276" s="280"/>
      <c r="B276" s="280"/>
      <c r="C276" s="284"/>
      <c r="D276" s="288" t="s">
        <v>146</v>
      </c>
      <c r="E276" s="280"/>
      <c r="F276" s="283"/>
      <c r="G276" s="286"/>
      <c r="H276" s="315"/>
      <c r="I276" s="286"/>
      <c r="J276" s="286"/>
      <c r="K276" s="286"/>
      <c r="L276" s="286"/>
      <c r="M276" s="286"/>
      <c r="N276" s="286"/>
      <c r="O276" s="286"/>
      <c r="P276" s="302"/>
    </row>
    <row r="277" ht="15.75" spans="1:16">
      <c r="A277" s="280"/>
      <c r="B277" s="280"/>
      <c r="C277" s="284"/>
      <c r="D277" s="288"/>
      <c r="E277" s="280"/>
      <c r="F277" s="283"/>
      <c r="G277" s="286"/>
      <c r="H277" s="315"/>
      <c r="I277" s="286"/>
      <c r="J277" s="286"/>
      <c r="K277" s="286"/>
      <c r="L277" s="286"/>
      <c r="M277" s="286"/>
      <c r="N277" s="286"/>
      <c r="O277" s="286"/>
      <c r="P277" s="302"/>
    </row>
    <row r="278" ht="31.5" spans="1:16">
      <c r="A278" s="280"/>
      <c r="B278" s="280"/>
      <c r="C278" s="284"/>
      <c r="D278" s="288" t="s">
        <v>96</v>
      </c>
      <c r="E278" s="280"/>
      <c r="F278" s="283">
        <f>32.82+32.82</f>
        <v>65.64</v>
      </c>
      <c r="G278" s="286" t="s">
        <v>60</v>
      </c>
      <c r="H278" s="321">
        <v>0.6</v>
      </c>
      <c r="I278" s="286" t="s">
        <v>60</v>
      </c>
      <c r="J278" s="306"/>
      <c r="K278" s="286" t="s">
        <v>60</v>
      </c>
      <c r="L278" s="286"/>
      <c r="M278" s="286" t="s">
        <v>60</v>
      </c>
      <c r="N278" s="306">
        <v>0.1</v>
      </c>
      <c r="O278" s="286" t="s">
        <v>61</v>
      </c>
      <c r="P278" s="302">
        <f>PRODUCT(F278:N278)</f>
        <v>3.9384</v>
      </c>
    </row>
    <row r="279" ht="31.5" spans="1:16">
      <c r="A279" s="280"/>
      <c r="B279" s="280"/>
      <c r="C279" s="284"/>
      <c r="D279" s="288" t="s">
        <v>97</v>
      </c>
      <c r="E279" s="280"/>
      <c r="F279" s="283">
        <f>16.5+16.5+5.39+5.39</f>
        <v>43.78</v>
      </c>
      <c r="G279" s="286" t="s">
        <v>60</v>
      </c>
      <c r="H279" s="321">
        <v>0.6</v>
      </c>
      <c r="I279" s="286" t="s">
        <v>60</v>
      </c>
      <c r="J279" s="306"/>
      <c r="K279" s="286" t="s">
        <v>60</v>
      </c>
      <c r="L279" s="286"/>
      <c r="M279" s="286" t="s">
        <v>60</v>
      </c>
      <c r="N279" s="306">
        <v>0.5</v>
      </c>
      <c r="O279" s="286" t="s">
        <v>61</v>
      </c>
      <c r="P279" s="302">
        <f>PRODUCT(F279:N279)</f>
        <v>13.134</v>
      </c>
    </row>
    <row r="280" ht="31.5" spans="1:16">
      <c r="A280" s="280"/>
      <c r="B280" s="280"/>
      <c r="C280" s="284"/>
      <c r="D280" s="288" t="s">
        <v>98</v>
      </c>
      <c r="E280" s="280"/>
      <c r="F280" s="283">
        <f>32.83+32.83</f>
        <v>65.66</v>
      </c>
      <c r="G280" s="286" t="s">
        <v>60</v>
      </c>
      <c r="H280" s="321">
        <v>0.6</v>
      </c>
      <c r="I280" s="286" t="s">
        <v>60</v>
      </c>
      <c r="J280" s="306"/>
      <c r="K280" s="286" t="s">
        <v>60</v>
      </c>
      <c r="L280" s="286"/>
      <c r="M280" s="286" t="s">
        <v>60</v>
      </c>
      <c r="N280" s="306">
        <v>0.1</v>
      </c>
      <c r="O280" s="286" t="s">
        <v>61</v>
      </c>
      <c r="P280" s="302">
        <f>PRODUCT(F280:N280)</f>
        <v>3.9396</v>
      </c>
    </row>
    <row r="281" ht="15.75" spans="1:16">
      <c r="A281" s="280"/>
      <c r="B281" s="280"/>
      <c r="C281" s="284"/>
      <c r="D281" s="288" t="s">
        <v>138</v>
      </c>
      <c r="E281" s="280"/>
      <c r="F281" s="283">
        <v>4.5</v>
      </c>
      <c r="G281" s="286" t="s">
        <v>60</v>
      </c>
      <c r="H281" s="286">
        <v>1</v>
      </c>
      <c r="I281" s="286" t="s">
        <v>60</v>
      </c>
      <c r="J281" s="306"/>
      <c r="K281" s="286" t="s">
        <v>60</v>
      </c>
      <c r="L281" s="286"/>
      <c r="M281" s="286" t="s">
        <v>60</v>
      </c>
      <c r="N281" s="306">
        <v>0.1</v>
      </c>
      <c r="O281" s="286" t="s">
        <v>61</v>
      </c>
      <c r="P281" s="302">
        <f>PRODUCT(F281:N281)</f>
        <v>0.45</v>
      </c>
    </row>
    <row r="282" ht="15.75" spans="1:16">
      <c r="A282" s="280"/>
      <c r="B282" s="280"/>
      <c r="C282" s="284"/>
      <c r="D282" s="288"/>
      <c r="E282" s="280"/>
      <c r="F282" s="283"/>
      <c r="G282" s="286"/>
      <c r="H282" s="286"/>
      <c r="I282" s="286"/>
      <c r="J282" s="286"/>
      <c r="K282" s="286"/>
      <c r="L282" s="286"/>
      <c r="M282" s="286"/>
      <c r="N282" s="286"/>
      <c r="O282" s="286"/>
      <c r="P282" s="302"/>
    </row>
    <row r="283" ht="15.75" spans="1:16">
      <c r="A283" s="280"/>
      <c r="B283" s="280"/>
      <c r="C283" s="284"/>
      <c r="D283" s="285"/>
      <c r="E283" s="280"/>
      <c r="F283" s="283"/>
      <c r="G283" s="286"/>
      <c r="H283" s="286"/>
      <c r="I283" s="286"/>
      <c r="J283" s="286"/>
      <c r="K283" s="286"/>
      <c r="L283" s="286"/>
      <c r="M283" s="286"/>
      <c r="N283" s="300" t="s">
        <v>27</v>
      </c>
      <c r="O283" s="283" t="s">
        <v>61</v>
      </c>
      <c r="P283" s="301">
        <f>ROUND(SUM(P278:P281),2)</f>
        <v>21.46</v>
      </c>
    </row>
    <row r="284" ht="15.75" spans="1:16">
      <c r="A284" s="280"/>
      <c r="B284" s="280"/>
      <c r="C284" s="284"/>
      <c r="D284" s="285"/>
      <c r="E284" s="280"/>
      <c r="F284" s="283"/>
      <c r="G284" s="286"/>
      <c r="H284" s="286"/>
      <c r="I284" s="286"/>
      <c r="J284" s="286"/>
      <c r="K284" s="286"/>
      <c r="L284" s="286"/>
      <c r="M284" s="286"/>
      <c r="N284" s="300"/>
      <c r="O284" s="283"/>
      <c r="P284" s="301"/>
    </row>
    <row r="285" ht="47.25" spans="1:16">
      <c r="A285" s="280" t="s">
        <v>147</v>
      </c>
      <c r="B285" s="310" t="s">
        <v>57</v>
      </c>
      <c r="C285" s="281">
        <v>94231</v>
      </c>
      <c r="D285" s="282" t="s">
        <v>148</v>
      </c>
      <c r="E285" s="280" t="s">
        <v>70</v>
      </c>
      <c r="F285" s="283"/>
      <c r="G285" s="283"/>
      <c r="H285" s="283"/>
      <c r="I285" s="283"/>
      <c r="J285" s="300"/>
      <c r="K285" s="283"/>
      <c r="L285" s="300"/>
      <c r="M285" s="283"/>
      <c r="N285" s="300"/>
      <c r="O285" s="283"/>
      <c r="P285" s="301"/>
    </row>
    <row r="286" ht="15.75" spans="1:16">
      <c r="A286" s="280"/>
      <c r="B286" s="280"/>
      <c r="C286" s="281"/>
      <c r="D286" s="282"/>
      <c r="E286" s="280"/>
      <c r="F286" s="283"/>
      <c r="G286" s="283"/>
      <c r="H286" s="283"/>
      <c r="I286" s="283"/>
      <c r="J286" s="300"/>
      <c r="K286" s="283"/>
      <c r="L286" s="300"/>
      <c r="M286" s="283"/>
      <c r="N286" s="300"/>
      <c r="O286" s="283"/>
      <c r="P286" s="301"/>
    </row>
    <row r="287" ht="31.5" spans="1:16">
      <c r="A287" s="280"/>
      <c r="B287" s="280"/>
      <c r="C287" s="284"/>
      <c r="D287" s="288" t="s">
        <v>96</v>
      </c>
      <c r="E287" s="280"/>
      <c r="F287" s="283">
        <f>13.6+13.6</f>
        <v>27.2</v>
      </c>
      <c r="G287" s="286" t="s">
        <v>60</v>
      </c>
      <c r="H287" s="315"/>
      <c r="I287" s="286" t="s">
        <v>60</v>
      </c>
      <c r="J287" s="286"/>
      <c r="K287" s="286" t="s">
        <v>60</v>
      </c>
      <c r="L287" s="286"/>
      <c r="M287" s="286" t="s">
        <v>60</v>
      </c>
      <c r="N287" s="286"/>
      <c r="O287" s="286" t="s">
        <v>61</v>
      </c>
      <c r="P287" s="302">
        <f>PRODUCT(F287:N287)</f>
        <v>27.2</v>
      </c>
    </row>
    <row r="288" ht="15.75" spans="1:16">
      <c r="A288" s="280"/>
      <c r="B288" s="280"/>
      <c r="C288" s="284"/>
      <c r="D288" s="288" t="s">
        <v>134</v>
      </c>
      <c r="E288" s="280"/>
      <c r="F288" s="283">
        <f>1.4+1.4+3.22+3.22</f>
        <v>9.24</v>
      </c>
      <c r="G288" s="286" t="s">
        <v>60</v>
      </c>
      <c r="H288" s="315"/>
      <c r="I288" s="286" t="s">
        <v>60</v>
      </c>
      <c r="J288" s="286"/>
      <c r="K288" s="286" t="s">
        <v>60</v>
      </c>
      <c r="L288" s="286"/>
      <c r="M288" s="286" t="s">
        <v>60</v>
      </c>
      <c r="N288" s="286"/>
      <c r="O288" s="286" t="s">
        <v>61</v>
      </c>
      <c r="P288" s="302">
        <f>PRODUCT(F288:N288)</f>
        <v>9.24</v>
      </c>
    </row>
    <row r="289" ht="31.5" spans="1:16">
      <c r="A289" s="280"/>
      <c r="B289" s="280"/>
      <c r="C289" s="284"/>
      <c r="D289" s="288" t="s">
        <v>97</v>
      </c>
      <c r="E289" s="280"/>
      <c r="F289" s="283">
        <f>16.5+1.9+1.9+16.5+2.46+2.46+5.35+5.35+5.39+8+8+5.39</f>
        <v>79.2</v>
      </c>
      <c r="G289" s="286" t="s">
        <v>60</v>
      </c>
      <c r="H289" s="315"/>
      <c r="I289" s="286" t="s">
        <v>60</v>
      </c>
      <c r="J289" s="286"/>
      <c r="K289" s="286" t="s">
        <v>60</v>
      </c>
      <c r="L289" s="286"/>
      <c r="M289" s="286" t="s">
        <v>60</v>
      </c>
      <c r="N289" s="286"/>
      <c r="O289" s="286" t="s">
        <v>61</v>
      </c>
      <c r="P289" s="302">
        <f>PRODUCT(F289:N289)</f>
        <v>79.2</v>
      </c>
    </row>
    <row r="290" ht="31.5" spans="1:16">
      <c r="A290" s="280"/>
      <c r="B290" s="280"/>
      <c r="C290" s="284"/>
      <c r="D290" s="288" t="s">
        <v>98</v>
      </c>
      <c r="E290" s="280"/>
      <c r="F290" s="283">
        <f>13.65+13.65</f>
        <v>27.3</v>
      </c>
      <c r="G290" s="286" t="s">
        <v>60</v>
      </c>
      <c r="H290" s="315"/>
      <c r="I290" s="286" t="s">
        <v>60</v>
      </c>
      <c r="J290" s="286"/>
      <c r="K290" s="286" t="s">
        <v>60</v>
      </c>
      <c r="L290" s="286"/>
      <c r="M290" s="286" t="s">
        <v>60</v>
      </c>
      <c r="N290" s="286"/>
      <c r="O290" s="286" t="s">
        <v>61</v>
      </c>
      <c r="P290" s="302">
        <f>PRODUCT(F290:N290)</f>
        <v>27.3</v>
      </c>
    </row>
    <row r="291" ht="15.75" spans="1:16">
      <c r="A291" s="280"/>
      <c r="B291" s="280"/>
      <c r="C291" s="284"/>
      <c r="D291" s="288" t="s">
        <v>149</v>
      </c>
      <c r="E291" s="280"/>
      <c r="F291" s="283">
        <f>3.55+3.55+4.5+4.5</f>
        <v>16.1</v>
      </c>
      <c r="G291" s="286" t="s">
        <v>60</v>
      </c>
      <c r="H291" s="315"/>
      <c r="I291" s="286" t="s">
        <v>60</v>
      </c>
      <c r="J291" s="286"/>
      <c r="K291" s="286" t="s">
        <v>60</v>
      </c>
      <c r="L291" s="286"/>
      <c r="M291" s="286" t="s">
        <v>60</v>
      </c>
      <c r="N291" s="286"/>
      <c r="O291" s="286" t="s">
        <v>61</v>
      </c>
      <c r="P291" s="302">
        <f>PRODUCT(F291:N291)</f>
        <v>16.1</v>
      </c>
    </row>
    <row r="292" ht="15.75" spans="1:16">
      <c r="A292" s="280"/>
      <c r="B292" s="280"/>
      <c r="C292" s="284"/>
      <c r="D292" s="288"/>
      <c r="E292" s="280"/>
      <c r="F292" s="283"/>
      <c r="G292" s="286"/>
      <c r="H292" s="315"/>
      <c r="I292" s="286"/>
      <c r="J292" s="286"/>
      <c r="K292" s="286"/>
      <c r="L292" s="286"/>
      <c r="M292" s="286"/>
      <c r="N292" s="286"/>
      <c r="O292" s="286"/>
      <c r="P292" s="302"/>
    </row>
    <row r="293" ht="15.75" spans="1:16">
      <c r="A293" s="280"/>
      <c r="B293" s="280"/>
      <c r="C293" s="284"/>
      <c r="D293" s="285"/>
      <c r="E293" s="280"/>
      <c r="F293" s="283"/>
      <c r="G293" s="286"/>
      <c r="H293" s="286"/>
      <c r="I293" s="286"/>
      <c r="J293" s="286"/>
      <c r="K293" s="286"/>
      <c r="L293" s="286"/>
      <c r="M293" s="286"/>
      <c r="N293" s="300" t="s">
        <v>27</v>
      </c>
      <c r="O293" s="283" t="s">
        <v>61</v>
      </c>
      <c r="P293" s="301">
        <f>ROUND(SUM(P287:P291),2)</f>
        <v>159.04</v>
      </c>
    </row>
    <row r="294" ht="15.75" spans="1:16">
      <c r="A294" s="280"/>
      <c r="B294" s="280"/>
      <c r="C294" s="284"/>
      <c r="D294" s="285"/>
      <c r="E294" s="280"/>
      <c r="F294" s="283"/>
      <c r="G294" s="286"/>
      <c r="H294" s="286"/>
      <c r="I294" s="286"/>
      <c r="J294" s="286"/>
      <c r="K294" s="286"/>
      <c r="L294" s="286"/>
      <c r="M294" s="286"/>
      <c r="N294" s="300"/>
      <c r="O294" s="283"/>
      <c r="P294" s="301"/>
    </row>
    <row r="295" ht="15.75" spans="1:16">
      <c r="A295" s="274" t="s">
        <v>21</v>
      </c>
      <c r="B295" s="287" t="s">
        <v>150</v>
      </c>
      <c r="C295" s="287"/>
      <c r="D295" s="287"/>
      <c r="E295" s="27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</row>
    <row r="296" ht="15.75" spans="1:16">
      <c r="A296" s="280"/>
      <c r="B296" s="280"/>
      <c r="C296" s="284"/>
      <c r="D296" s="285"/>
      <c r="E296" s="280"/>
      <c r="F296" s="283"/>
      <c r="G296" s="286"/>
      <c r="H296" s="286"/>
      <c r="I296" s="286"/>
      <c r="J296" s="286"/>
      <c r="K296" s="286"/>
      <c r="L296" s="286"/>
      <c r="M296" s="286"/>
      <c r="N296" s="300"/>
      <c r="O296" s="283"/>
      <c r="P296" s="301"/>
    </row>
    <row r="297" ht="63" spans="1:16">
      <c r="A297" s="280" t="s">
        <v>151</v>
      </c>
      <c r="B297" s="310" t="s">
        <v>57</v>
      </c>
      <c r="C297" s="281">
        <v>98556</v>
      </c>
      <c r="D297" s="282" t="s">
        <v>152</v>
      </c>
      <c r="E297" s="280" t="s">
        <v>66</v>
      </c>
      <c r="F297" s="283"/>
      <c r="G297" s="283"/>
      <c r="H297" s="283"/>
      <c r="I297" s="283"/>
      <c r="J297" s="300"/>
      <c r="K297" s="283"/>
      <c r="L297" s="300"/>
      <c r="M297" s="283"/>
      <c r="N297" s="300"/>
      <c r="O297" s="283"/>
      <c r="P297" s="301"/>
    </row>
    <row r="298" ht="15.75" spans="1:16">
      <c r="A298" s="280"/>
      <c r="B298" s="280"/>
      <c r="C298" s="281"/>
      <c r="D298" s="282"/>
      <c r="E298" s="280"/>
      <c r="F298" s="283"/>
      <c r="G298" s="283"/>
      <c r="H298" s="283"/>
      <c r="I298" s="283"/>
      <c r="J298" s="300"/>
      <c r="K298" s="283"/>
      <c r="L298" s="300"/>
      <c r="M298" s="283"/>
      <c r="N298" s="300"/>
      <c r="O298" s="283"/>
      <c r="P298" s="301"/>
    </row>
    <row r="299" ht="15.75" spans="1:16">
      <c r="A299" s="280"/>
      <c r="B299" s="280"/>
      <c r="C299" s="284"/>
      <c r="D299" s="288" t="s">
        <v>110</v>
      </c>
      <c r="E299" s="280"/>
      <c r="F299" s="283">
        <f>32.82+32.82</f>
        <v>65.64</v>
      </c>
      <c r="G299" s="286" t="s">
        <v>60</v>
      </c>
      <c r="H299" s="286">
        <f>0.32+0.3+0.3</f>
        <v>0.92</v>
      </c>
      <c r="I299" s="286" t="s">
        <v>60</v>
      </c>
      <c r="J299" s="286"/>
      <c r="K299" s="286" t="s">
        <v>60</v>
      </c>
      <c r="L299" s="286"/>
      <c r="M299" s="286" t="s">
        <v>60</v>
      </c>
      <c r="N299" s="286"/>
      <c r="O299" s="286" t="s">
        <v>61</v>
      </c>
      <c r="P299" s="302">
        <f>PRODUCT(F299:N299)</f>
        <v>60.3888</v>
      </c>
    </row>
    <row r="300" ht="15.75" spans="1:16">
      <c r="A300" s="280"/>
      <c r="B300" s="280"/>
      <c r="C300" s="284"/>
      <c r="D300" s="288" t="s">
        <v>111</v>
      </c>
      <c r="E300" s="280"/>
      <c r="F300" s="283" t="s">
        <v>112</v>
      </c>
      <c r="G300" s="286" t="s">
        <v>60</v>
      </c>
      <c r="H300" s="286">
        <f>1+0.3+0.3</f>
        <v>1.6</v>
      </c>
      <c r="I300" s="286" t="s">
        <v>60</v>
      </c>
      <c r="J300" s="286"/>
      <c r="K300" s="286"/>
      <c r="L300" s="286"/>
      <c r="M300" s="286"/>
      <c r="N300" s="286"/>
      <c r="O300" s="286"/>
      <c r="P300" s="302">
        <f t="shared" ref="P300:P302" si="7">PRODUCT(F300:N300)</f>
        <v>1.6</v>
      </c>
    </row>
    <row r="301" ht="31.5" spans="1:16">
      <c r="A301" s="280"/>
      <c r="B301" s="280"/>
      <c r="C301" s="284"/>
      <c r="D301" s="288" t="s">
        <v>113</v>
      </c>
      <c r="E301" s="280"/>
      <c r="F301" s="283">
        <f>16.5+16.5+5.39+5.39</f>
        <v>43.78</v>
      </c>
      <c r="G301" s="286" t="s">
        <v>60</v>
      </c>
      <c r="H301" s="286" t="s">
        <v>153</v>
      </c>
      <c r="I301" s="286" t="s">
        <v>60</v>
      </c>
      <c r="J301" s="286"/>
      <c r="K301" s="286" t="s">
        <v>60</v>
      </c>
      <c r="L301" s="286"/>
      <c r="M301" s="286" t="s">
        <v>60</v>
      </c>
      <c r="N301" s="286"/>
      <c r="O301" s="286" t="s">
        <v>61</v>
      </c>
      <c r="P301" s="302">
        <f t="shared" si="7"/>
        <v>43.78</v>
      </c>
    </row>
    <row r="302" ht="15.75" spans="1:16">
      <c r="A302" s="280"/>
      <c r="B302" s="280"/>
      <c r="C302" s="284"/>
      <c r="D302" s="288" t="s">
        <v>114</v>
      </c>
      <c r="E302" s="280"/>
      <c r="F302" s="283">
        <f>32.83+32.83</f>
        <v>65.66</v>
      </c>
      <c r="G302" s="286" t="s">
        <v>60</v>
      </c>
      <c r="H302" s="286">
        <f>0.32+0.3+0.3</f>
        <v>0.92</v>
      </c>
      <c r="I302" s="286" t="s">
        <v>60</v>
      </c>
      <c r="J302" s="286"/>
      <c r="K302" s="286" t="s">
        <v>60</v>
      </c>
      <c r="L302" s="286"/>
      <c r="M302" s="286" t="s">
        <v>60</v>
      </c>
      <c r="N302" s="286"/>
      <c r="O302" s="286" t="s">
        <v>61</v>
      </c>
      <c r="P302" s="302">
        <f t="shared" si="7"/>
        <v>60.4072</v>
      </c>
    </row>
    <row r="303" ht="15.75" spans="1:16">
      <c r="A303" s="280"/>
      <c r="B303" s="280"/>
      <c r="C303" s="284"/>
      <c r="D303" s="288" t="s">
        <v>154</v>
      </c>
      <c r="E303" s="280"/>
      <c r="F303" s="283">
        <f>5.69+0.2+0.2</f>
        <v>6.09</v>
      </c>
      <c r="G303" s="286" t="s">
        <v>60</v>
      </c>
      <c r="H303" s="286">
        <f>3.15+0.2+0.2</f>
        <v>3.55</v>
      </c>
      <c r="I303" s="286" t="s">
        <v>60</v>
      </c>
      <c r="J303" s="286"/>
      <c r="K303" s="286" t="s">
        <v>60</v>
      </c>
      <c r="L303" s="286"/>
      <c r="M303" s="286" t="s">
        <v>60</v>
      </c>
      <c r="N303" s="286"/>
      <c r="O303" s="286" t="s">
        <v>61</v>
      </c>
      <c r="P303" s="302">
        <f t="shared" ref="P303:P304" si="8">PRODUCT(F303:N303)</f>
        <v>21.6195</v>
      </c>
    </row>
    <row r="304" ht="15.75" spans="1:16">
      <c r="A304" s="280"/>
      <c r="B304" s="280"/>
      <c r="C304" s="284"/>
      <c r="D304" s="288" t="s">
        <v>155</v>
      </c>
      <c r="E304" s="280"/>
      <c r="F304" s="283">
        <f>3.9+0.2+0.2</f>
        <v>4.3</v>
      </c>
      <c r="G304" s="286" t="s">
        <v>60</v>
      </c>
      <c r="H304" s="286">
        <f>2.95+0.2+0.2</f>
        <v>3.35</v>
      </c>
      <c r="I304" s="286" t="s">
        <v>60</v>
      </c>
      <c r="J304" s="286"/>
      <c r="K304" s="286" t="s">
        <v>60</v>
      </c>
      <c r="L304" s="286"/>
      <c r="M304" s="286" t="s">
        <v>60</v>
      </c>
      <c r="N304" s="286"/>
      <c r="O304" s="286" t="s">
        <v>61</v>
      </c>
      <c r="P304" s="302">
        <f t="shared" si="8"/>
        <v>14.405</v>
      </c>
    </row>
    <row r="305" ht="15.75" spans="1:16">
      <c r="A305" s="280"/>
      <c r="B305" s="280"/>
      <c r="C305" s="284"/>
      <c r="D305" s="288"/>
      <c r="E305" s="280"/>
      <c r="F305" s="283"/>
      <c r="G305" s="286"/>
      <c r="H305" s="286"/>
      <c r="I305" s="286"/>
      <c r="J305" s="286"/>
      <c r="K305" s="286"/>
      <c r="L305" s="286"/>
      <c r="M305" s="286"/>
      <c r="N305" s="286"/>
      <c r="O305" s="286"/>
      <c r="P305" s="302"/>
    </row>
    <row r="306" ht="15.75" spans="1:16">
      <c r="A306" s="280"/>
      <c r="B306" s="280"/>
      <c r="C306" s="284"/>
      <c r="D306" s="285"/>
      <c r="E306" s="280"/>
      <c r="F306" s="283"/>
      <c r="G306" s="286"/>
      <c r="H306" s="286"/>
      <c r="I306" s="286"/>
      <c r="J306" s="286"/>
      <c r="K306" s="286"/>
      <c r="L306" s="286"/>
      <c r="M306" s="286"/>
      <c r="N306" s="300" t="s">
        <v>27</v>
      </c>
      <c r="O306" s="283" t="s">
        <v>61</v>
      </c>
      <c r="P306" s="301">
        <f>ROUND(SUM(P299:P302),2)</f>
        <v>166.18</v>
      </c>
    </row>
    <row r="307" ht="15.75" spans="1:16">
      <c r="A307" s="280"/>
      <c r="B307" s="280"/>
      <c r="C307" s="284"/>
      <c r="D307" s="285"/>
      <c r="E307" s="280"/>
      <c r="F307" s="283"/>
      <c r="G307" s="286"/>
      <c r="H307" s="286"/>
      <c r="I307" s="286"/>
      <c r="J307" s="286"/>
      <c r="K307" s="286"/>
      <c r="L307" s="286"/>
      <c r="M307" s="286"/>
      <c r="N307" s="300"/>
      <c r="O307" s="283"/>
      <c r="P307" s="301"/>
    </row>
    <row r="308" ht="94.5" spans="1:16">
      <c r="A308" s="280" t="s">
        <v>156</v>
      </c>
      <c r="B308" s="280" t="s">
        <v>64</v>
      </c>
      <c r="C308" s="313">
        <v>5</v>
      </c>
      <c r="D308" s="282" t="str">
        <f>COMPOSIÇÕES!A75</f>
        <v>CONCRETO ARMADO PRONTO, FGK 25 MPA, CONDIÇÃO B (NBR 12655), SUBSTITUINDO O CIMENTO POR GRAUTE, LANÇADO EM QUALQUER TIPO DE ESTRUTURA E ADENSADO, INCLUSIVE FORMA, ESCORAMENTO E FERRAGEM.</v>
      </c>
      <c r="E308" s="280" t="s">
        <v>102</v>
      </c>
      <c r="F308" s="283"/>
      <c r="G308" s="283"/>
      <c r="H308" s="283"/>
      <c r="I308" s="283"/>
      <c r="J308" s="300"/>
      <c r="K308" s="283"/>
      <c r="L308" s="300"/>
      <c r="M308" s="283"/>
      <c r="N308" s="300"/>
      <c r="O308" s="283"/>
      <c r="P308" s="301"/>
    </row>
    <row r="309" ht="15.75" spans="1:16">
      <c r="A309" s="280"/>
      <c r="B309" s="280"/>
      <c r="C309" s="281"/>
      <c r="D309" s="282"/>
      <c r="E309" s="280"/>
      <c r="F309" s="283"/>
      <c r="G309" s="283"/>
      <c r="H309" s="283"/>
      <c r="I309" s="283"/>
      <c r="J309" s="300"/>
      <c r="K309" s="283"/>
      <c r="L309" s="300"/>
      <c r="M309" s="283"/>
      <c r="N309" s="300"/>
      <c r="O309" s="283"/>
      <c r="P309" s="301"/>
    </row>
    <row r="310" ht="31.5" spans="1:16">
      <c r="A310" s="280"/>
      <c r="B310" s="280"/>
      <c r="C310" s="284"/>
      <c r="D310" s="288" t="s">
        <v>103</v>
      </c>
      <c r="E310" s="280"/>
      <c r="F310" s="314">
        <f>PI()*(0.1/2)^2</f>
        <v>0.00785398163397448</v>
      </c>
      <c r="G310" s="286" t="s">
        <v>60</v>
      </c>
      <c r="H310" s="286">
        <v>0.2</v>
      </c>
      <c r="I310" s="286" t="s">
        <v>60</v>
      </c>
      <c r="J310" s="286"/>
      <c r="K310" s="286" t="s">
        <v>60</v>
      </c>
      <c r="L310" s="286"/>
      <c r="M310" s="286" t="s">
        <v>60</v>
      </c>
      <c r="N310" s="286"/>
      <c r="O310" s="286" t="s">
        <v>61</v>
      </c>
      <c r="P310" s="303">
        <f>PRODUCT(F310:N310)</f>
        <v>0.0015707963267949</v>
      </c>
    </row>
    <row r="311" ht="31.5" spans="1:16">
      <c r="A311" s="280"/>
      <c r="B311" s="280"/>
      <c r="C311" s="284"/>
      <c r="D311" s="288" t="s">
        <v>104</v>
      </c>
      <c r="E311" s="280"/>
      <c r="F311" s="314">
        <f>PI()*(0.08/2)^2</f>
        <v>0.00502654824574367</v>
      </c>
      <c r="G311" s="286" t="s">
        <v>60</v>
      </c>
      <c r="H311" s="286">
        <v>0.2</v>
      </c>
      <c r="I311" s="286" t="s">
        <v>60</v>
      </c>
      <c r="J311" s="286"/>
      <c r="K311" s="286" t="s">
        <v>60</v>
      </c>
      <c r="L311" s="286"/>
      <c r="M311" s="286" t="s">
        <v>60</v>
      </c>
      <c r="N311" s="286"/>
      <c r="O311" s="286" t="s">
        <v>61</v>
      </c>
      <c r="P311" s="303">
        <f t="shared" ref="P311:P312" si="9">PRODUCT(F311:N311)</f>
        <v>0.00100530964914873</v>
      </c>
    </row>
    <row r="312" ht="31.5" spans="1:16">
      <c r="A312" s="280"/>
      <c r="B312" s="280"/>
      <c r="C312" s="284"/>
      <c r="D312" s="288" t="s">
        <v>105</v>
      </c>
      <c r="E312" s="280"/>
      <c r="F312" s="314">
        <f>PI()*(0.07/2)^2</f>
        <v>0.0038484510006475</v>
      </c>
      <c r="G312" s="286" t="s">
        <v>60</v>
      </c>
      <c r="H312" s="286">
        <v>0.2</v>
      </c>
      <c r="I312" s="286" t="s">
        <v>60</v>
      </c>
      <c r="J312" s="286"/>
      <c r="K312" s="286" t="s">
        <v>60</v>
      </c>
      <c r="L312" s="286"/>
      <c r="M312" s="286" t="s">
        <v>60</v>
      </c>
      <c r="N312" s="286"/>
      <c r="O312" s="286" t="s">
        <v>61</v>
      </c>
      <c r="P312" s="303">
        <f t="shared" si="9"/>
        <v>0.000769690200129499</v>
      </c>
    </row>
    <row r="313" ht="15.75" spans="1:16">
      <c r="A313" s="280"/>
      <c r="B313" s="280"/>
      <c r="C313" s="284"/>
      <c r="D313" s="288" t="s">
        <v>157</v>
      </c>
      <c r="E313" s="280"/>
      <c r="F313" s="283"/>
      <c r="G313" s="286"/>
      <c r="H313" s="286"/>
      <c r="I313" s="286"/>
      <c r="J313" s="286"/>
      <c r="K313" s="286"/>
      <c r="L313" s="286"/>
      <c r="M313" s="286"/>
      <c r="N313" s="286"/>
      <c r="O313" s="286"/>
      <c r="P313" s="302"/>
    </row>
    <row r="314" ht="15.75" spans="1:16">
      <c r="A314" s="280"/>
      <c r="B314" s="280"/>
      <c r="C314" s="284"/>
      <c r="D314" s="288"/>
      <c r="E314" s="280"/>
      <c r="F314" s="283"/>
      <c r="G314" s="286"/>
      <c r="H314" s="286"/>
      <c r="I314" s="286"/>
      <c r="J314" s="286"/>
      <c r="K314" s="286"/>
      <c r="L314" s="286"/>
      <c r="M314" s="286"/>
      <c r="N314" s="286"/>
      <c r="O314" s="286"/>
      <c r="P314" s="302"/>
    </row>
    <row r="315" ht="15.75" spans="1:16">
      <c r="A315" s="280"/>
      <c r="B315" s="280"/>
      <c r="C315" s="284"/>
      <c r="D315" s="288"/>
      <c r="E315" s="280"/>
      <c r="F315" s="283"/>
      <c r="G315" s="286"/>
      <c r="H315" s="286"/>
      <c r="I315" s="286"/>
      <c r="J315" s="286"/>
      <c r="K315" s="286"/>
      <c r="L315" s="286"/>
      <c r="M315" s="286"/>
      <c r="N315" s="286"/>
      <c r="O315" s="286"/>
      <c r="P315" s="302"/>
    </row>
    <row r="316" ht="15.75" spans="1:16">
      <c r="A316" s="280"/>
      <c r="B316" s="280"/>
      <c r="C316" s="284"/>
      <c r="D316" s="285"/>
      <c r="E316" s="280"/>
      <c r="F316" s="283"/>
      <c r="G316" s="286"/>
      <c r="H316" s="286"/>
      <c r="I316" s="286"/>
      <c r="J316" s="286"/>
      <c r="K316" s="286"/>
      <c r="L316" s="286"/>
      <c r="M316" s="286"/>
      <c r="N316" s="300" t="s">
        <v>27</v>
      </c>
      <c r="O316" s="283" t="s">
        <v>61</v>
      </c>
      <c r="P316" s="301">
        <f>ROUND(SUM(P310:P312),4)</f>
        <v>0.0033</v>
      </c>
    </row>
    <row r="317" ht="15.75" spans="1:16">
      <c r="A317" s="280"/>
      <c r="B317" s="280"/>
      <c r="C317" s="284"/>
      <c r="D317" s="285"/>
      <c r="E317" s="280"/>
      <c r="F317" s="283"/>
      <c r="G317" s="286"/>
      <c r="H317" s="286"/>
      <c r="I317" s="286"/>
      <c r="J317" s="286"/>
      <c r="K317" s="286"/>
      <c r="L317" s="286"/>
      <c r="M317" s="286"/>
      <c r="N317" s="300"/>
      <c r="O317" s="283"/>
      <c r="P317" s="301"/>
    </row>
    <row r="318" ht="15.75" spans="1:16">
      <c r="A318" s="280"/>
      <c r="B318" s="280"/>
      <c r="C318" s="284"/>
      <c r="D318" s="285"/>
      <c r="E318" s="280"/>
      <c r="F318" s="283"/>
      <c r="G318" s="286"/>
      <c r="H318" s="286"/>
      <c r="I318" s="286"/>
      <c r="J318" s="286"/>
      <c r="K318" s="286"/>
      <c r="L318" s="286"/>
      <c r="M318" s="286"/>
      <c r="N318" s="300"/>
      <c r="O318" s="283"/>
      <c r="P318" s="301"/>
    </row>
    <row r="319" s="252" customFormat="1" ht="15.75" spans="1:16">
      <c r="A319" s="274" t="s">
        <v>22</v>
      </c>
      <c r="B319" s="287" t="s">
        <v>158</v>
      </c>
      <c r="C319" s="287"/>
      <c r="D319" s="287"/>
      <c r="E319" s="274"/>
      <c r="F319" s="274"/>
      <c r="G319" s="274"/>
      <c r="H319" s="274"/>
      <c r="I319" s="274"/>
      <c r="J319" s="274"/>
      <c r="K319" s="274"/>
      <c r="L319" s="274"/>
      <c r="M319" s="274"/>
      <c r="N319" s="274"/>
      <c r="O319" s="274"/>
      <c r="P319" s="274"/>
    </row>
    <row r="320" ht="15.75" spans="1:16">
      <c r="A320" s="280"/>
      <c r="B320" s="280"/>
      <c r="C320" s="284"/>
      <c r="D320" s="285"/>
      <c r="E320" s="280"/>
      <c r="F320" s="283"/>
      <c r="G320" s="286"/>
      <c r="H320" s="286"/>
      <c r="I320" s="286"/>
      <c r="J320" s="286"/>
      <c r="K320" s="286"/>
      <c r="L320" s="286"/>
      <c r="M320" s="286"/>
      <c r="N320" s="300"/>
      <c r="O320" s="283"/>
      <c r="P320" s="301"/>
    </row>
    <row r="321" ht="78.75" spans="1:16">
      <c r="A321" s="280" t="s">
        <v>159</v>
      </c>
      <c r="B321" s="310" t="s">
        <v>57</v>
      </c>
      <c r="C321" s="281">
        <v>87879</v>
      </c>
      <c r="D321" s="282" t="s">
        <v>160</v>
      </c>
      <c r="E321" s="280" t="s">
        <v>66</v>
      </c>
      <c r="F321" s="283"/>
      <c r="G321" s="283"/>
      <c r="H321" s="283"/>
      <c r="I321" s="283"/>
      <c r="J321" s="300"/>
      <c r="K321" s="283"/>
      <c r="L321" s="300"/>
      <c r="M321" s="283"/>
      <c r="N321" s="300"/>
      <c r="O321" s="283"/>
      <c r="P321" s="301"/>
    </row>
    <row r="322" ht="15.75" spans="1:16">
      <c r="A322" s="280"/>
      <c r="B322" s="280"/>
      <c r="C322" s="281"/>
      <c r="D322" s="282"/>
      <c r="E322" s="280"/>
      <c r="F322" s="283"/>
      <c r="G322" s="283"/>
      <c r="H322" s="283"/>
      <c r="I322" s="283"/>
      <c r="J322" s="300"/>
      <c r="K322" s="283"/>
      <c r="L322" s="300"/>
      <c r="M322" s="283"/>
      <c r="N322" s="300"/>
      <c r="O322" s="283"/>
      <c r="P322" s="301"/>
    </row>
    <row r="323" ht="15.75" spans="1:16">
      <c r="A323" s="280"/>
      <c r="B323" s="280"/>
      <c r="C323" s="284"/>
      <c r="D323" s="288" t="s">
        <v>77</v>
      </c>
      <c r="E323" s="288"/>
      <c r="F323" s="283">
        <f>263.15+16.39+49.36+4.76+4.41+12.28+12.23+2.61</f>
        <v>365.19</v>
      </c>
      <c r="G323" s="285" t="s">
        <v>60</v>
      </c>
      <c r="H323" s="285"/>
      <c r="I323" s="285" t="s">
        <v>60</v>
      </c>
      <c r="J323" s="285"/>
      <c r="K323" s="285" t="s">
        <v>60</v>
      </c>
      <c r="L323" s="285"/>
      <c r="M323" s="285" t="s">
        <v>60</v>
      </c>
      <c r="N323" s="304">
        <v>0.2</v>
      </c>
      <c r="O323" s="288" t="s">
        <v>61</v>
      </c>
      <c r="P323" s="302">
        <f>PRODUCT(F323:N323)</f>
        <v>73.038</v>
      </c>
    </row>
    <row r="324" ht="15.75" spans="1:16">
      <c r="A324" s="280"/>
      <c r="B324" s="280"/>
      <c r="C324" s="284"/>
      <c r="D324" s="288" t="s">
        <v>78</v>
      </c>
      <c r="E324" s="280"/>
      <c r="F324" s="283">
        <v>94.65</v>
      </c>
      <c r="G324" s="286" t="s">
        <v>60</v>
      </c>
      <c r="H324" s="286"/>
      <c r="I324" s="286" t="s">
        <v>60</v>
      </c>
      <c r="J324" s="286"/>
      <c r="K324" s="286" t="s">
        <v>60</v>
      </c>
      <c r="L324" s="286"/>
      <c r="M324" s="286" t="s">
        <v>60</v>
      </c>
      <c r="N324" s="304">
        <v>1</v>
      </c>
      <c r="O324" s="286" t="s">
        <v>61</v>
      </c>
      <c r="P324" s="302">
        <f>PRODUCT(F324:N324)</f>
        <v>94.65</v>
      </c>
    </row>
    <row r="325" ht="15.75" spans="1:16">
      <c r="A325" s="280"/>
      <c r="B325" s="280"/>
      <c r="C325" s="284"/>
      <c r="D325" s="288" t="s">
        <v>79</v>
      </c>
      <c r="E325" s="280"/>
      <c r="F325" s="283">
        <v>36.18</v>
      </c>
      <c r="G325" s="286" t="s">
        <v>60</v>
      </c>
      <c r="H325" s="286"/>
      <c r="I325" s="286" t="s">
        <v>60</v>
      </c>
      <c r="J325" s="286"/>
      <c r="K325" s="286" t="s">
        <v>60</v>
      </c>
      <c r="L325" s="286"/>
      <c r="M325" s="286" t="s">
        <v>60</v>
      </c>
      <c r="N325" s="304">
        <v>1</v>
      </c>
      <c r="O325" s="286" t="s">
        <v>61</v>
      </c>
      <c r="P325" s="302">
        <f>PRODUCT(F325:N325)</f>
        <v>36.18</v>
      </c>
    </row>
    <row r="326" ht="15.75" spans="1:16">
      <c r="A326" s="280"/>
      <c r="B326" s="280"/>
      <c r="C326" s="284"/>
      <c r="D326" s="288" t="s">
        <v>80</v>
      </c>
      <c r="E326" s="280"/>
      <c r="F326" s="283">
        <v>19.07</v>
      </c>
      <c r="G326" s="286" t="s">
        <v>60</v>
      </c>
      <c r="H326" s="286"/>
      <c r="I326" s="286" t="s">
        <v>60</v>
      </c>
      <c r="J326" s="286"/>
      <c r="K326" s="286" t="s">
        <v>60</v>
      </c>
      <c r="L326" s="286"/>
      <c r="M326" s="286" t="s">
        <v>60</v>
      </c>
      <c r="N326" s="304">
        <v>1</v>
      </c>
      <c r="O326" s="286" t="s">
        <v>61</v>
      </c>
      <c r="P326" s="302">
        <f>PRODUCT(F326:N326)</f>
        <v>19.07</v>
      </c>
    </row>
    <row r="327" ht="15.75" spans="1:16">
      <c r="A327" s="280"/>
      <c r="B327" s="280"/>
      <c r="C327" s="284"/>
      <c r="D327" s="288" t="s">
        <v>81</v>
      </c>
      <c r="E327" s="280"/>
      <c r="F327" s="283">
        <f>151.04+210.96+1.75+2.61</f>
        <v>366.36</v>
      </c>
      <c r="G327" s="286" t="s">
        <v>60</v>
      </c>
      <c r="H327" s="286"/>
      <c r="I327" s="286" t="s">
        <v>60</v>
      </c>
      <c r="J327" s="286"/>
      <c r="K327" s="286" t="s">
        <v>60</v>
      </c>
      <c r="L327" s="286"/>
      <c r="M327" s="286" t="s">
        <v>60</v>
      </c>
      <c r="N327" s="304">
        <v>0.8</v>
      </c>
      <c r="O327" s="286" t="s">
        <v>61</v>
      </c>
      <c r="P327" s="302">
        <f>PRODUCT(F327:N327)</f>
        <v>293.088</v>
      </c>
    </row>
    <row r="328" ht="15.75" spans="1:16">
      <c r="A328" s="280"/>
      <c r="B328" s="280"/>
      <c r="C328" s="284"/>
      <c r="D328" s="288"/>
      <c r="E328" s="280"/>
      <c r="F328" s="283"/>
      <c r="G328" s="286"/>
      <c r="H328" s="286"/>
      <c r="I328" s="286"/>
      <c r="J328" s="286"/>
      <c r="K328" s="286"/>
      <c r="L328" s="286"/>
      <c r="M328" s="286"/>
      <c r="N328" s="286"/>
      <c r="O328" s="286"/>
      <c r="P328" s="302"/>
    </row>
    <row r="329" ht="15.75" spans="1:16">
      <c r="A329" s="280"/>
      <c r="B329" s="280"/>
      <c r="C329" s="284"/>
      <c r="D329" s="285"/>
      <c r="E329" s="280"/>
      <c r="F329" s="283"/>
      <c r="G329" s="286"/>
      <c r="H329" s="286"/>
      <c r="I329" s="286"/>
      <c r="J329" s="286"/>
      <c r="K329" s="286"/>
      <c r="L329" s="286"/>
      <c r="M329" s="286"/>
      <c r="N329" s="300" t="s">
        <v>27</v>
      </c>
      <c r="O329" s="283" t="s">
        <v>61</v>
      </c>
      <c r="P329" s="301">
        <f>ROUND(SUM(P323:P327),2)</f>
        <v>516.03</v>
      </c>
    </row>
    <row r="330" ht="15.75" spans="1:16">
      <c r="A330" s="324"/>
      <c r="B330" s="324"/>
      <c r="C330" s="324"/>
      <c r="D330" s="285"/>
      <c r="E330" s="324"/>
      <c r="F330" s="324"/>
      <c r="G330" s="324"/>
      <c r="H330" s="324"/>
      <c r="I330" s="324"/>
      <c r="J330" s="324"/>
      <c r="K330" s="324"/>
      <c r="L330" s="324"/>
      <c r="M330" s="324"/>
      <c r="N330" s="324"/>
      <c r="O330" s="324"/>
      <c r="P330" s="324"/>
    </row>
    <row r="331" ht="119.4" customHeight="1" spans="1:16">
      <c r="A331" s="280" t="s">
        <v>161</v>
      </c>
      <c r="B331" s="310" t="s">
        <v>57</v>
      </c>
      <c r="C331" s="281">
        <v>90407</v>
      </c>
      <c r="D331" s="282" t="s">
        <v>162</v>
      </c>
      <c r="E331" s="280" t="s">
        <v>66</v>
      </c>
      <c r="F331" s="283"/>
      <c r="G331" s="283"/>
      <c r="H331" s="283"/>
      <c r="I331" s="283"/>
      <c r="J331" s="300"/>
      <c r="K331" s="283"/>
      <c r="L331" s="300"/>
      <c r="M331" s="283"/>
      <c r="N331" s="300"/>
      <c r="O331" s="283"/>
      <c r="P331" s="301"/>
    </row>
    <row r="332" ht="15.75" spans="1:16">
      <c r="A332" s="280"/>
      <c r="B332" s="280"/>
      <c r="C332" s="281"/>
      <c r="D332" s="282"/>
      <c r="E332" s="280"/>
      <c r="F332" s="283"/>
      <c r="G332" s="283"/>
      <c r="H332" s="283"/>
      <c r="I332" s="283"/>
      <c r="J332" s="300"/>
      <c r="K332" s="283"/>
      <c r="L332" s="300"/>
      <c r="M332" s="283"/>
      <c r="N332" s="300"/>
      <c r="O332" s="283"/>
      <c r="P332" s="301"/>
    </row>
    <row r="333" ht="15.75" spans="1:16">
      <c r="A333" s="280"/>
      <c r="B333" s="280"/>
      <c r="C333" s="284"/>
      <c r="D333" s="288" t="s">
        <v>77</v>
      </c>
      <c r="E333" s="288"/>
      <c r="F333" s="283">
        <f>263.15+16.39+49.36+4.76+4.41+12.28+12.23+2.61</f>
        <v>365.19</v>
      </c>
      <c r="G333" s="285" t="s">
        <v>60</v>
      </c>
      <c r="H333" s="285"/>
      <c r="I333" s="285" t="s">
        <v>60</v>
      </c>
      <c r="J333" s="285"/>
      <c r="K333" s="285" t="s">
        <v>60</v>
      </c>
      <c r="L333" s="285"/>
      <c r="M333" s="285" t="s">
        <v>60</v>
      </c>
      <c r="N333" s="304">
        <v>0.2</v>
      </c>
      <c r="O333" s="288" t="s">
        <v>61</v>
      </c>
      <c r="P333" s="302">
        <f>PRODUCT(F333:N333)</f>
        <v>73.038</v>
      </c>
    </row>
    <row r="334" ht="15.75" spans="1:16">
      <c r="A334" s="280"/>
      <c r="B334" s="280"/>
      <c r="C334" s="284"/>
      <c r="D334" s="288" t="s">
        <v>78</v>
      </c>
      <c r="E334" s="280"/>
      <c r="F334" s="283">
        <v>94.65</v>
      </c>
      <c r="G334" s="286" t="s">
        <v>60</v>
      </c>
      <c r="H334" s="286"/>
      <c r="I334" s="286" t="s">
        <v>60</v>
      </c>
      <c r="J334" s="286"/>
      <c r="K334" s="286" t="s">
        <v>60</v>
      </c>
      <c r="L334" s="286"/>
      <c r="M334" s="286" t="s">
        <v>60</v>
      </c>
      <c r="N334" s="304">
        <v>1</v>
      </c>
      <c r="O334" s="286" t="s">
        <v>61</v>
      </c>
      <c r="P334" s="302">
        <f>PRODUCT(F334:N334)</f>
        <v>94.65</v>
      </c>
    </row>
    <row r="335" ht="15.75" spans="1:16">
      <c r="A335" s="280"/>
      <c r="B335" s="280"/>
      <c r="C335" s="284"/>
      <c r="D335" s="288" t="s">
        <v>79</v>
      </c>
      <c r="E335" s="280"/>
      <c r="F335" s="283">
        <v>36.18</v>
      </c>
      <c r="G335" s="286" t="s">
        <v>60</v>
      </c>
      <c r="H335" s="286"/>
      <c r="I335" s="286" t="s">
        <v>60</v>
      </c>
      <c r="J335" s="286"/>
      <c r="K335" s="286" t="s">
        <v>60</v>
      </c>
      <c r="L335" s="286"/>
      <c r="M335" s="286" t="s">
        <v>60</v>
      </c>
      <c r="N335" s="304">
        <v>1</v>
      </c>
      <c r="O335" s="286" t="s">
        <v>61</v>
      </c>
      <c r="P335" s="302">
        <f>PRODUCT(F335:N335)</f>
        <v>36.18</v>
      </c>
    </row>
    <row r="336" ht="15.75" spans="1:16">
      <c r="A336" s="280"/>
      <c r="B336" s="280"/>
      <c r="C336" s="284"/>
      <c r="D336" s="288" t="s">
        <v>80</v>
      </c>
      <c r="E336" s="280"/>
      <c r="F336" s="283">
        <v>19.07</v>
      </c>
      <c r="G336" s="286" t="s">
        <v>60</v>
      </c>
      <c r="H336" s="286"/>
      <c r="I336" s="286" t="s">
        <v>60</v>
      </c>
      <c r="J336" s="286"/>
      <c r="K336" s="286" t="s">
        <v>60</v>
      </c>
      <c r="L336" s="286"/>
      <c r="M336" s="286" t="s">
        <v>60</v>
      </c>
      <c r="N336" s="304">
        <v>1</v>
      </c>
      <c r="O336" s="286" t="s">
        <v>61</v>
      </c>
      <c r="P336" s="302">
        <f>PRODUCT(F336:N336)</f>
        <v>19.07</v>
      </c>
    </row>
    <row r="337" ht="15.75" spans="1:16">
      <c r="A337" s="280"/>
      <c r="B337" s="280"/>
      <c r="C337" s="284"/>
      <c r="D337" s="288" t="s">
        <v>81</v>
      </c>
      <c r="E337" s="280"/>
      <c r="F337" s="283">
        <f>151.04+210.96+1.75+2.61</f>
        <v>366.36</v>
      </c>
      <c r="G337" s="286" t="s">
        <v>60</v>
      </c>
      <c r="H337" s="286"/>
      <c r="I337" s="286" t="s">
        <v>60</v>
      </c>
      <c r="J337" s="286"/>
      <c r="K337" s="286" t="s">
        <v>60</v>
      </c>
      <c r="L337" s="286"/>
      <c r="M337" s="286" t="s">
        <v>60</v>
      </c>
      <c r="N337" s="304">
        <v>0.8</v>
      </c>
      <c r="O337" s="286" t="s">
        <v>61</v>
      </c>
      <c r="P337" s="302">
        <f>PRODUCT(F337:N337)</f>
        <v>293.088</v>
      </c>
    </row>
    <row r="338" ht="15.75" spans="1:16">
      <c r="A338" s="280"/>
      <c r="B338" s="280"/>
      <c r="C338" s="284"/>
      <c r="D338" s="288"/>
      <c r="E338" s="280"/>
      <c r="F338" s="283"/>
      <c r="G338" s="286"/>
      <c r="H338" s="286"/>
      <c r="I338" s="286"/>
      <c r="J338" s="286"/>
      <c r="K338" s="286"/>
      <c r="L338" s="286"/>
      <c r="M338" s="286"/>
      <c r="N338" s="286"/>
      <c r="O338" s="286"/>
      <c r="P338" s="302"/>
    </row>
    <row r="339" ht="15.75" spans="1:16">
      <c r="A339" s="280"/>
      <c r="B339" s="280"/>
      <c r="C339" s="284"/>
      <c r="D339" s="285"/>
      <c r="E339" s="280"/>
      <c r="F339" s="283"/>
      <c r="G339" s="286"/>
      <c r="H339" s="286"/>
      <c r="I339" s="286"/>
      <c r="J339" s="286"/>
      <c r="K339" s="286"/>
      <c r="L339" s="286"/>
      <c r="M339" s="286"/>
      <c r="N339" s="300" t="s">
        <v>27</v>
      </c>
      <c r="O339" s="283" t="s">
        <v>61</v>
      </c>
      <c r="P339" s="301">
        <f>ROUND(SUM(P333:P337),2)</f>
        <v>516.03</v>
      </c>
    </row>
    <row r="340" spans="1:16">
      <c r="A340" s="324"/>
      <c r="B340" s="324"/>
      <c r="C340" s="324"/>
      <c r="D340" s="324"/>
      <c r="E340" s="324"/>
      <c r="F340" s="324"/>
      <c r="G340" s="324"/>
      <c r="H340" s="324"/>
      <c r="I340" s="324"/>
      <c r="J340" s="324"/>
      <c r="K340" s="324"/>
      <c r="L340" s="324"/>
      <c r="M340" s="324"/>
      <c r="N340" s="324"/>
      <c r="O340" s="324"/>
      <c r="P340" s="324"/>
    </row>
    <row r="341" s="252" customFormat="1" ht="15.75" spans="1:16">
      <c r="A341" s="274" t="s">
        <v>23</v>
      </c>
      <c r="B341" s="287" t="s">
        <v>163</v>
      </c>
      <c r="C341" s="287"/>
      <c r="D341" s="287"/>
      <c r="E341" s="274"/>
      <c r="F341" s="274"/>
      <c r="G341" s="274"/>
      <c r="H341" s="274"/>
      <c r="I341" s="274"/>
      <c r="J341" s="274"/>
      <c r="K341" s="274"/>
      <c r="L341" s="274"/>
      <c r="M341" s="274"/>
      <c r="N341" s="274"/>
      <c r="O341" s="274"/>
      <c r="P341" s="274"/>
    </row>
    <row r="342" spans="1:16">
      <c r="A342" s="324"/>
      <c r="B342" s="324"/>
      <c r="C342" s="324"/>
      <c r="D342" s="324"/>
      <c r="E342" s="324"/>
      <c r="F342" s="324"/>
      <c r="G342" s="324"/>
      <c r="H342" s="324"/>
      <c r="I342" s="324"/>
      <c r="J342" s="324"/>
      <c r="K342" s="324"/>
      <c r="L342" s="324"/>
      <c r="M342" s="324"/>
      <c r="N342" s="324"/>
      <c r="O342" s="324"/>
      <c r="P342" s="324"/>
    </row>
    <row r="343" ht="63" spans="1:16">
      <c r="A343" s="280" t="s">
        <v>164</v>
      </c>
      <c r="B343" s="285" t="s">
        <v>64</v>
      </c>
      <c r="C343" s="281">
        <v>6</v>
      </c>
      <c r="D343" s="282" t="str">
        <f>COMPOSIÇÕES!A103</f>
        <v>ESQUADRIA DE MADEIRA COM GRADE E FOLHA EM MADEIRA DE LEI PARA PORTAS EXTERNAS INCLUSIVE ASSENTAMENTO E FERRAGENS.</v>
      </c>
      <c r="E343" s="280" t="s">
        <v>50</v>
      </c>
      <c r="F343" s="283"/>
      <c r="G343" s="283"/>
      <c r="H343" s="283"/>
      <c r="I343" s="283"/>
      <c r="J343" s="300"/>
      <c r="K343" s="283"/>
      <c r="L343" s="300"/>
      <c r="M343" s="283"/>
      <c r="N343" s="300"/>
      <c r="O343" s="283"/>
      <c r="P343" s="301"/>
    </row>
    <row r="344" ht="15.75" spans="1:16">
      <c r="A344" s="280"/>
      <c r="B344" s="280"/>
      <c r="C344" s="281"/>
      <c r="D344" s="282"/>
      <c r="E344" s="280"/>
      <c r="F344" s="283"/>
      <c r="G344" s="283"/>
      <c r="H344" s="283"/>
      <c r="I344" s="283"/>
      <c r="J344" s="300"/>
      <c r="K344" s="283"/>
      <c r="L344" s="300"/>
      <c r="M344" s="283"/>
      <c r="N344" s="300"/>
      <c r="O344" s="283"/>
      <c r="P344" s="301"/>
    </row>
    <row r="345" ht="15.75" spans="1:16">
      <c r="A345" s="280"/>
      <c r="B345" s="280"/>
      <c r="C345" s="284"/>
      <c r="D345" s="288" t="s">
        <v>92</v>
      </c>
      <c r="E345" s="280"/>
      <c r="F345" s="283"/>
      <c r="G345" s="286" t="s">
        <v>60</v>
      </c>
      <c r="H345" s="286"/>
      <c r="I345" s="286" t="s">
        <v>60</v>
      </c>
      <c r="J345" s="286"/>
      <c r="K345" s="286" t="s">
        <v>60</v>
      </c>
      <c r="L345" s="286"/>
      <c r="M345" s="286" t="s">
        <v>60</v>
      </c>
      <c r="N345" s="286">
        <v>2</v>
      </c>
      <c r="O345" s="286" t="s">
        <v>61</v>
      </c>
      <c r="P345" s="302">
        <f t="shared" ref="P345:P346" si="10">PRODUCT(F345:N345)</f>
        <v>2</v>
      </c>
    </row>
    <row r="346" ht="15.75" spans="1:16">
      <c r="A346" s="280"/>
      <c r="B346" s="280"/>
      <c r="C346" s="284"/>
      <c r="D346" s="288" t="s">
        <v>93</v>
      </c>
      <c r="E346" s="280"/>
      <c r="F346" s="283"/>
      <c r="G346" s="286" t="s">
        <v>60</v>
      </c>
      <c r="H346" s="286"/>
      <c r="I346" s="286" t="s">
        <v>60</v>
      </c>
      <c r="J346" s="286"/>
      <c r="K346" s="286" t="s">
        <v>60</v>
      </c>
      <c r="L346" s="286"/>
      <c r="M346" s="286" t="s">
        <v>60</v>
      </c>
      <c r="N346" s="286">
        <v>1</v>
      </c>
      <c r="O346" s="286" t="s">
        <v>61</v>
      </c>
      <c r="P346" s="302">
        <f t="shared" si="10"/>
        <v>1</v>
      </c>
    </row>
    <row r="347" ht="15.75" spans="1:16">
      <c r="A347" s="280"/>
      <c r="B347" s="280"/>
      <c r="C347" s="284"/>
      <c r="D347" s="288"/>
      <c r="E347" s="280"/>
      <c r="F347" s="283"/>
      <c r="G347" s="286"/>
      <c r="H347" s="286"/>
      <c r="I347" s="286"/>
      <c r="J347" s="286"/>
      <c r="K347" s="286"/>
      <c r="L347" s="286"/>
      <c r="M347" s="286"/>
      <c r="N347" s="286"/>
      <c r="O347" s="286"/>
      <c r="P347" s="302"/>
    </row>
    <row r="348" ht="15.75" spans="1:16">
      <c r="A348" s="280"/>
      <c r="B348" s="280"/>
      <c r="C348" s="284"/>
      <c r="D348" s="285"/>
      <c r="E348" s="280"/>
      <c r="F348" s="283"/>
      <c r="G348" s="286"/>
      <c r="H348" s="286"/>
      <c r="I348" s="286"/>
      <c r="J348" s="286"/>
      <c r="K348" s="286"/>
      <c r="L348" s="286"/>
      <c r="M348" s="286"/>
      <c r="N348" s="300" t="s">
        <v>27</v>
      </c>
      <c r="O348" s="283" t="s">
        <v>61</v>
      </c>
      <c r="P348" s="301">
        <f>ROUND(SUM(P345:P346),2)</f>
        <v>3</v>
      </c>
    </row>
    <row r="349" s="252" customFormat="1" ht="15.75" spans="1:16">
      <c r="A349" s="274" t="s">
        <v>24</v>
      </c>
      <c r="B349" s="287" t="s">
        <v>165</v>
      </c>
      <c r="C349" s="287"/>
      <c r="D349" s="287"/>
      <c r="E349" s="274"/>
      <c r="F349" s="274"/>
      <c r="G349" s="274"/>
      <c r="H349" s="274"/>
      <c r="I349" s="274"/>
      <c r="J349" s="274"/>
      <c r="K349" s="274"/>
      <c r="L349" s="274"/>
      <c r="M349" s="274"/>
      <c r="N349" s="274"/>
      <c r="O349" s="274"/>
      <c r="P349" s="274"/>
    </row>
    <row r="350" spans="1:16">
      <c r="A350" s="324"/>
      <c r="B350" s="324"/>
      <c r="C350" s="324"/>
      <c r="D350" s="324"/>
      <c r="E350" s="324"/>
      <c r="F350" s="324"/>
      <c r="G350" s="324"/>
      <c r="H350" s="324"/>
      <c r="I350" s="324"/>
      <c r="J350" s="324"/>
      <c r="K350" s="324"/>
      <c r="L350" s="324"/>
      <c r="M350" s="324"/>
      <c r="N350" s="324"/>
      <c r="O350" s="324"/>
      <c r="P350" s="324"/>
    </row>
    <row r="351" ht="31.5" spans="1:16">
      <c r="A351" s="280" t="s">
        <v>166</v>
      </c>
      <c r="B351" s="310" t="s">
        <v>57</v>
      </c>
      <c r="C351" s="281">
        <v>88496</v>
      </c>
      <c r="D351" s="282" t="s">
        <v>167</v>
      </c>
      <c r="E351" s="280" t="s">
        <v>66</v>
      </c>
      <c r="F351" s="283"/>
      <c r="G351" s="283"/>
      <c r="H351" s="283"/>
      <c r="I351" s="283"/>
      <c r="J351" s="300"/>
      <c r="K351" s="283"/>
      <c r="L351" s="300"/>
      <c r="M351" s="283"/>
      <c r="N351" s="300"/>
      <c r="O351" s="283"/>
      <c r="P351" s="301"/>
    </row>
    <row r="352" ht="15.75" spans="1:16">
      <c r="A352" s="280"/>
      <c r="B352" s="280"/>
      <c r="C352" s="281"/>
      <c r="D352" s="282"/>
      <c r="E352" s="280"/>
      <c r="F352" s="283"/>
      <c r="G352" s="283"/>
      <c r="H352" s="283"/>
      <c r="I352" s="283"/>
      <c r="J352" s="300"/>
      <c r="K352" s="283"/>
      <c r="L352" s="300"/>
      <c r="M352" s="283"/>
      <c r="N352" s="300"/>
      <c r="O352" s="283"/>
      <c r="P352" s="301"/>
    </row>
    <row r="353" ht="15.75" spans="1:16">
      <c r="A353" s="280"/>
      <c r="B353" s="280"/>
      <c r="C353" s="284"/>
      <c r="D353" s="288" t="s">
        <v>77</v>
      </c>
      <c r="E353" s="288"/>
      <c r="F353" s="283">
        <f>263.15+16.39+49.36+4.76+4.41+12.28+12.23+2.61</f>
        <v>365.19</v>
      </c>
      <c r="G353" s="285" t="s">
        <v>60</v>
      </c>
      <c r="H353" s="285"/>
      <c r="I353" s="285" t="s">
        <v>60</v>
      </c>
      <c r="J353" s="285"/>
      <c r="K353" s="285" t="s">
        <v>60</v>
      </c>
      <c r="L353" s="285"/>
      <c r="M353" s="285" t="s">
        <v>60</v>
      </c>
      <c r="N353" s="304">
        <v>0.2</v>
      </c>
      <c r="O353" s="288" t="s">
        <v>61</v>
      </c>
      <c r="P353" s="302">
        <f>PRODUCT(F353:N353)</f>
        <v>73.038</v>
      </c>
    </row>
    <row r="354" ht="15.75" spans="1:16">
      <c r="A354" s="280"/>
      <c r="B354" s="280"/>
      <c r="C354" s="284"/>
      <c r="D354" s="288" t="s">
        <v>78</v>
      </c>
      <c r="E354" s="280"/>
      <c r="F354" s="283">
        <v>94.65</v>
      </c>
      <c r="G354" s="286" t="s">
        <v>60</v>
      </c>
      <c r="H354" s="286"/>
      <c r="I354" s="286" t="s">
        <v>60</v>
      </c>
      <c r="J354" s="286"/>
      <c r="K354" s="286" t="s">
        <v>60</v>
      </c>
      <c r="L354" s="286"/>
      <c r="M354" s="286" t="s">
        <v>60</v>
      </c>
      <c r="N354" s="304">
        <v>1</v>
      </c>
      <c r="O354" s="286" t="s">
        <v>61</v>
      </c>
      <c r="P354" s="302">
        <f>PRODUCT(F354:N354)</f>
        <v>94.65</v>
      </c>
    </row>
    <row r="355" ht="15.75" spans="1:16">
      <c r="A355" s="280"/>
      <c r="B355" s="280"/>
      <c r="C355" s="284"/>
      <c r="D355" s="288" t="s">
        <v>79</v>
      </c>
      <c r="E355" s="280"/>
      <c r="F355" s="283">
        <v>36.18</v>
      </c>
      <c r="G355" s="286" t="s">
        <v>60</v>
      </c>
      <c r="H355" s="286"/>
      <c r="I355" s="286" t="s">
        <v>60</v>
      </c>
      <c r="J355" s="286"/>
      <c r="K355" s="286" t="s">
        <v>60</v>
      </c>
      <c r="L355" s="286"/>
      <c r="M355" s="286" t="s">
        <v>60</v>
      </c>
      <c r="N355" s="304">
        <v>1</v>
      </c>
      <c r="O355" s="286" t="s">
        <v>61</v>
      </c>
      <c r="P355" s="302">
        <f>PRODUCT(F355:N355)</f>
        <v>36.18</v>
      </c>
    </row>
    <row r="356" ht="15.75" spans="1:16">
      <c r="A356" s="280"/>
      <c r="B356" s="280"/>
      <c r="C356" s="284"/>
      <c r="D356" s="288" t="s">
        <v>80</v>
      </c>
      <c r="E356" s="280"/>
      <c r="F356" s="283">
        <v>19.07</v>
      </c>
      <c r="G356" s="286" t="s">
        <v>60</v>
      </c>
      <c r="H356" s="286"/>
      <c r="I356" s="286" t="s">
        <v>60</v>
      </c>
      <c r="J356" s="286"/>
      <c r="K356" s="286" t="s">
        <v>60</v>
      </c>
      <c r="L356" s="286"/>
      <c r="M356" s="286" t="s">
        <v>60</v>
      </c>
      <c r="N356" s="304">
        <v>1</v>
      </c>
      <c r="O356" s="286" t="s">
        <v>61</v>
      </c>
      <c r="P356" s="302">
        <f>PRODUCT(F356:N356)</f>
        <v>19.07</v>
      </c>
    </row>
    <row r="357" ht="15.75" spans="1:16">
      <c r="A357" s="280"/>
      <c r="B357" s="280"/>
      <c r="C357" s="284"/>
      <c r="D357" s="288" t="s">
        <v>81</v>
      </c>
      <c r="E357" s="280"/>
      <c r="F357" s="283">
        <f>151.04+210.96+1.75+2.61</f>
        <v>366.36</v>
      </c>
      <c r="G357" s="286" t="s">
        <v>60</v>
      </c>
      <c r="H357" s="286"/>
      <c r="I357" s="286" t="s">
        <v>60</v>
      </c>
      <c r="J357" s="286"/>
      <c r="K357" s="286" t="s">
        <v>60</v>
      </c>
      <c r="L357" s="286"/>
      <c r="M357" s="286" t="s">
        <v>60</v>
      </c>
      <c r="N357" s="304">
        <v>1</v>
      </c>
      <c r="O357" s="286" t="s">
        <v>61</v>
      </c>
      <c r="P357" s="302">
        <f>PRODUCT(F357:N357)</f>
        <v>366.36</v>
      </c>
    </row>
    <row r="358" ht="15.75" spans="1:16">
      <c r="A358" s="280"/>
      <c r="B358" s="280"/>
      <c r="C358" s="284"/>
      <c r="D358" s="288"/>
      <c r="E358" s="280"/>
      <c r="F358" s="283"/>
      <c r="G358" s="286"/>
      <c r="H358" s="286"/>
      <c r="I358" s="286"/>
      <c r="J358" s="286"/>
      <c r="K358" s="286"/>
      <c r="L358" s="286"/>
      <c r="M358" s="286"/>
      <c r="N358" s="286"/>
      <c r="O358" s="286"/>
      <c r="P358" s="302"/>
    </row>
    <row r="359" ht="15.75" spans="1:16">
      <c r="A359" s="280"/>
      <c r="B359" s="280"/>
      <c r="C359" s="284"/>
      <c r="D359" s="285"/>
      <c r="E359" s="280"/>
      <c r="F359" s="283"/>
      <c r="G359" s="286"/>
      <c r="H359" s="286"/>
      <c r="I359" s="286"/>
      <c r="J359" s="286"/>
      <c r="K359" s="286"/>
      <c r="L359" s="286"/>
      <c r="M359" s="286"/>
      <c r="N359" s="300" t="s">
        <v>27</v>
      </c>
      <c r="O359" s="283" t="s">
        <v>61</v>
      </c>
      <c r="P359" s="301">
        <f>ROUND(SUM(P353:P357),2)</f>
        <v>589.3</v>
      </c>
    </row>
    <row r="360" spans="1:16">
      <c r="A360" s="324"/>
      <c r="B360" s="324"/>
      <c r="C360" s="324"/>
      <c r="D360" s="324"/>
      <c r="E360" s="324"/>
      <c r="F360" s="324"/>
      <c r="G360" s="324"/>
      <c r="H360" s="324"/>
      <c r="I360" s="324"/>
      <c r="J360" s="324"/>
      <c r="K360" s="324"/>
      <c r="L360" s="324"/>
      <c r="M360" s="324"/>
      <c r="N360" s="324"/>
      <c r="O360" s="324"/>
      <c r="P360" s="324"/>
    </row>
    <row r="361" ht="63" spans="1:16">
      <c r="A361" s="280" t="s">
        <v>168</v>
      </c>
      <c r="B361" s="285" t="s">
        <v>64</v>
      </c>
      <c r="C361" s="281">
        <v>9</v>
      </c>
      <c r="D361" s="282" t="str">
        <f>COMPOSIÇÕES!A180</f>
        <v>PINTURA A BASE DE EMULSAO ACRILICA, EM TETO, DUAS DEMAOS, INCLUSIVE LIQUIDO SELADOR UMA DEMAO, E DUAS DEMAOS DE MASSA ACRILICA.</v>
      </c>
      <c r="E361" s="280" t="s">
        <v>66</v>
      </c>
      <c r="F361" s="283"/>
      <c r="G361" s="283"/>
      <c r="H361" s="283"/>
      <c r="I361" s="283"/>
      <c r="J361" s="300"/>
      <c r="K361" s="283"/>
      <c r="L361" s="300"/>
      <c r="M361" s="283"/>
      <c r="N361" s="300"/>
      <c r="O361" s="283"/>
      <c r="P361" s="301"/>
    </row>
    <row r="362" ht="15.75" spans="1:16">
      <c r="A362" s="280"/>
      <c r="B362" s="280"/>
      <c r="C362" s="281"/>
      <c r="D362" s="282"/>
      <c r="E362" s="280"/>
      <c r="F362" s="283"/>
      <c r="G362" s="283"/>
      <c r="H362" s="283"/>
      <c r="I362" s="283"/>
      <c r="J362" s="300"/>
      <c r="K362" s="283"/>
      <c r="L362" s="300"/>
      <c r="M362" s="283"/>
      <c r="N362" s="300"/>
      <c r="O362" s="283"/>
      <c r="P362" s="301"/>
    </row>
    <row r="363" ht="15.75" spans="1:16">
      <c r="A363" s="280"/>
      <c r="B363" s="280"/>
      <c r="C363" s="284"/>
      <c r="D363" s="288" t="s">
        <v>77</v>
      </c>
      <c r="E363" s="288"/>
      <c r="F363" s="283">
        <f>263.15+16.39+49.36+4.76+4.41+12.28+12.23+2.61</f>
        <v>365.19</v>
      </c>
      <c r="G363" s="285" t="s">
        <v>60</v>
      </c>
      <c r="H363" s="285"/>
      <c r="I363" s="285" t="s">
        <v>60</v>
      </c>
      <c r="J363" s="285"/>
      <c r="K363" s="285" t="s">
        <v>60</v>
      </c>
      <c r="L363" s="285"/>
      <c r="M363" s="285" t="s">
        <v>60</v>
      </c>
      <c r="N363" s="304">
        <v>1</v>
      </c>
      <c r="O363" s="288" t="s">
        <v>61</v>
      </c>
      <c r="P363" s="302">
        <f>PRODUCT(F363:N363)</f>
        <v>365.19</v>
      </c>
    </row>
    <row r="364" ht="15.75" spans="1:16">
      <c r="A364" s="280"/>
      <c r="B364" s="280"/>
      <c r="C364" s="284"/>
      <c r="D364" s="288" t="s">
        <v>78</v>
      </c>
      <c r="E364" s="280"/>
      <c r="F364" s="283">
        <v>94.65</v>
      </c>
      <c r="G364" s="286" t="s">
        <v>60</v>
      </c>
      <c r="H364" s="286"/>
      <c r="I364" s="286" t="s">
        <v>60</v>
      </c>
      <c r="J364" s="286"/>
      <c r="K364" s="286" t="s">
        <v>60</v>
      </c>
      <c r="L364" s="286"/>
      <c r="M364" s="286" t="s">
        <v>60</v>
      </c>
      <c r="N364" s="304">
        <v>1</v>
      </c>
      <c r="O364" s="286" t="s">
        <v>61</v>
      </c>
      <c r="P364" s="302">
        <f>PRODUCT(F364:N364)</f>
        <v>94.65</v>
      </c>
    </row>
    <row r="365" ht="15.75" spans="1:16">
      <c r="A365" s="280"/>
      <c r="B365" s="280"/>
      <c r="C365" s="284"/>
      <c r="D365" s="288" t="s">
        <v>79</v>
      </c>
      <c r="E365" s="280"/>
      <c r="F365" s="283">
        <v>36.18</v>
      </c>
      <c r="G365" s="286" t="s">
        <v>60</v>
      </c>
      <c r="H365" s="286"/>
      <c r="I365" s="286" t="s">
        <v>60</v>
      </c>
      <c r="J365" s="286"/>
      <c r="K365" s="286" t="s">
        <v>60</v>
      </c>
      <c r="L365" s="286"/>
      <c r="M365" s="286" t="s">
        <v>60</v>
      </c>
      <c r="N365" s="304">
        <v>1</v>
      </c>
      <c r="O365" s="286" t="s">
        <v>61</v>
      </c>
      <c r="P365" s="302">
        <f>PRODUCT(F365:N365)</f>
        <v>36.18</v>
      </c>
    </row>
    <row r="366" ht="15.75" spans="1:16">
      <c r="A366" s="280"/>
      <c r="B366" s="280"/>
      <c r="C366" s="284"/>
      <c r="D366" s="288" t="s">
        <v>80</v>
      </c>
      <c r="E366" s="280"/>
      <c r="F366" s="283">
        <v>19.07</v>
      </c>
      <c r="G366" s="286" t="s">
        <v>60</v>
      </c>
      <c r="H366" s="286"/>
      <c r="I366" s="286" t="s">
        <v>60</v>
      </c>
      <c r="J366" s="286"/>
      <c r="K366" s="286" t="s">
        <v>60</v>
      </c>
      <c r="L366" s="286"/>
      <c r="M366" s="286" t="s">
        <v>60</v>
      </c>
      <c r="N366" s="304">
        <v>1</v>
      </c>
      <c r="O366" s="286" t="s">
        <v>61</v>
      </c>
      <c r="P366" s="302">
        <f>PRODUCT(F366:N366)</f>
        <v>19.07</v>
      </c>
    </row>
    <row r="367" ht="15.75" spans="1:16">
      <c r="A367" s="280"/>
      <c r="B367" s="280"/>
      <c r="C367" s="284"/>
      <c r="D367" s="288" t="s">
        <v>81</v>
      </c>
      <c r="E367" s="280"/>
      <c r="F367" s="283">
        <f>151.04+210.96+1.75+2.61</f>
        <v>366.36</v>
      </c>
      <c r="G367" s="286" t="s">
        <v>60</v>
      </c>
      <c r="H367" s="286"/>
      <c r="I367" s="286" t="s">
        <v>60</v>
      </c>
      <c r="J367" s="286"/>
      <c r="K367" s="286" t="s">
        <v>60</v>
      </c>
      <c r="L367" s="286"/>
      <c r="M367" s="286" t="s">
        <v>60</v>
      </c>
      <c r="N367" s="304">
        <v>1</v>
      </c>
      <c r="O367" s="286" t="s">
        <v>61</v>
      </c>
      <c r="P367" s="302">
        <f>PRODUCT(F367:N367)</f>
        <v>366.36</v>
      </c>
    </row>
    <row r="368" ht="15.75" spans="1:16">
      <c r="A368" s="280"/>
      <c r="B368" s="280"/>
      <c r="C368" s="284"/>
      <c r="D368" s="288"/>
      <c r="E368" s="280"/>
      <c r="F368" s="283"/>
      <c r="G368" s="286"/>
      <c r="H368" s="286"/>
      <c r="I368" s="286"/>
      <c r="J368" s="286"/>
      <c r="K368" s="286"/>
      <c r="L368" s="286"/>
      <c r="M368" s="286"/>
      <c r="N368" s="286"/>
      <c r="O368" s="286"/>
      <c r="P368" s="302"/>
    </row>
    <row r="369" ht="15.75" spans="1:16">
      <c r="A369" s="280"/>
      <c r="B369" s="280"/>
      <c r="C369" s="284"/>
      <c r="D369" s="285"/>
      <c r="E369" s="280"/>
      <c r="F369" s="283"/>
      <c r="G369" s="286"/>
      <c r="H369" s="286"/>
      <c r="I369" s="286"/>
      <c r="J369" s="286"/>
      <c r="K369" s="286"/>
      <c r="L369" s="286"/>
      <c r="M369" s="286"/>
      <c r="N369" s="300" t="s">
        <v>27</v>
      </c>
      <c r="O369" s="283" t="s">
        <v>61</v>
      </c>
      <c r="P369" s="301">
        <f>ROUND(SUM(P363:P367),2)</f>
        <v>881.45</v>
      </c>
    </row>
    <row r="370" spans="1:16">
      <c r="A370" s="324"/>
      <c r="B370" s="324"/>
      <c r="C370" s="324"/>
      <c r="D370" s="324"/>
      <c r="E370" s="324"/>
      <c r="F370" s="324"/>
      <c r="G370" s="324"/>
      <c r="H370" s="324"/>
      <c r="I370" s="324"/>
      <c r="J370" s="324"/>
      <c r="K370" s="324"/>
      <c r="L370" s="324"/>
      <c r="M370" s="324"/>
      <c r="N370" s="324"/>
      <c r="O370" s="324"/>
      <c r="P370" s="324"/>
    </row>
    <row r="371" ht="47.25" spans="1:16">
      <c r="A371" s="280" t="s">
        <v>169</v>
      </c>
      <c r="B371" s="310" t="s">
        <v>57</v>
      </c>
      <c r="C371" s="281">
        <v>88489</v>
      </c>
      <c r="D371" s="282" t="s">
        <v>170</v>
      </c>
      <c r="E371" s="280" t="s">
        <v>66</v>
      </c>
      <c r="F371" s="283"/>
      <c r="G371" s="283"/>
      <c r="H371" s="283"/>
      <c r="I371" s="283"/>
      <c r="J371" s="300"/>
      <c r="K371" s="283"/>
      <c r="L371" s="300"/>
      <c r="M371" s="283"/>
      <c r="N371" s="300"/>
      <c r="O371" s="283"/>
      <c r="P371" s="301"/>
    </row>
    <row r="372" ht="15.75" spans="1:16">
      <c r="A372" s="280"/>
      <c r="B372" s="280"/>
      <c r="C372" s="281"/>
      <c r="D372" s="282"/>
      <c r="E372" s="280"/>
      <c r="F372" s="283"/>
      <c r="G372" s="283"/>
      <c r="H372" s="283"/>
      <c r="I372" s="283"/>
      <c r="J372" s="300"/>
      <c r="K372" s="283"/>
      <c r="L372" s="300"/>
      <c r="M372" s="283"/>
      <c r="N372" s="300"/>
      <c r="O372" s="283"/>
      <c r="P372" s="301"/>
    </row>
    <row r="373" ht="15.75" spans="1:16">
      <c r="A373" s="280"/>
      <c r="B373" s="280"/>
      <c r="C373" s="284"/>
      <c r="D373" s="288" t="s">
        <v>115</v>
      </c>
      <c r="E373" s="280"/>
      <c r="F373" s="283">
        <f>5.69+5.69+3.15+3.15</f>
        <v>17.68</v>
      </c>
      <c r="G373" s="286" t="s">
        <v>60</v>
      </c>
      <c r="H373" s="286"/>
      <c r="I373" s="286" t="s">
        <v>60</v>
      </c>
      <c r="J373" s="286">
        <v>3.3</v>
      </c>
      <c r="K373" s="286" t="s">
        <v>60</v>
      </c>
      <c r="L373" s="286"/>
      <c r="M373" s="286" t="s">
        <v>60</v>
      </c>
      <c r="N373" s="286"/>
      <c r="O373" s="286" t="s">
        <v>61</v>
      </c>
      <c r="P373" s="302">
        <f t="shared" ref="P373:P375" si="11">PRODUCT(F373:N373)</f>
        <v>58.344</v>
      </c>
    </row>
    <row r="374" ht="15.75" spans="1:16">
      <c r="A374" s="280"/>
      <c r="B374" s="280"/>
      <c r="C374" s="284"/>
      <c r="D374" s="288" t="s">
        <v>116</v>
      </c>
      <c r="E374" s="280"/>
      <c r="F374" s="283" t="b">
        <f>3.9+3.95=0+2.95+2.95</f>
        <v>0</v>
      </c>
      <c r="G374" s="286" t="s">
        <v>60</v>
      </c>
      <c r="H374" s="286"/>
      <c r="I374" s="286" t="s">
        <v>60</v>
      </c>
      <c r="J374" s="286">
        <v>3.3</v>
      </c>
      <c r="K374" s="286" t="s">
        <v>60</v>
      </c>
      <c r="L374" s="286"/>
      <c r="M374" s="286" t="s">
        <v>60</v>
      </c>
      <c r="N374" s="304"/>
      <c r="O374" s="286" t="s">
        <v>61</v>
      </c>
      <c r="P374" s="302">
        <f t="shared" si="11"/>
        <v>3.3</v>
      </c>
    </row>
    <row r="375" ht="15.75" spans="1:16">
      <c r="A375" s="280"/>
      <c r="B375" s="280"/>
      <c r="C375" s="284"/>
      <c r="D375" s="288" t="s">
        <v>171</v>
      </c>
      <c r="E375" s="280"/>
      <c r="F375" s="283">
        <v>7.5</v>
      </c>
      <c r="G375" s="286" t="s">
        <v>60</v>
      </c>
      <c r="H375" s="286"/>
      <c r="I375" s="286" t="s">
        <v>60</v>
      </c>
      <c r="J375" s="286">
        <v>9</v>
      </c>
      <c r="K375" s="286" t="s">
        <v>60</v>
      </c>
      <c r="L375" s="286"/>
      <c r="M375" s="286" t="s">
        <v>60</v>
      </c>
      <c r="N375" s="304"/>
      <c r="O375" s="286" t="s">
        <v>61</v>
      </c>
      <c r="P375" s="302">
        <f t="shared" si="11"/>
        <v>67.5</v>
      </c>
    </row>
    <row r="376" ht="15.75" spans="1:16">
      <c r="A376" s="280"/>
      <c r="B376" s="280"/>
      <c r="C376" s="284"/>
      <c r="D376" s="288"/>
      <c r="E376" s="280"/>
      <c r="F376" s="283"/>
      <c r="G376" s="286"/>
      <c r="H376" s="286"/>
      <c r="I376" s="286"/>
      <c r="J376" s="286"/>
      <c r="K376" s="286"/>
      <c r="L376" s="286"/>
      <c r="M376" s="286"/>
      <c r="N376" s="286"/>
      <c r="O376" s="286"/>
      <c r="P376" s="302"/>
    </row>
    <row r="377" ht="15.75" spans="1:16">
      <c r="A377" s="280"/>
      <c r="B377" s="280"/>
      <c r="C377" s="284"/>
      <c r="D377" s="285"/>
      <c r="E377" s="280"/>
      <c r="F377" s="283"/>
      <c r="G377" s="286"/>
      <c r="H377" s="286"/>
      <c r="I377" s="286"/>
      <c r="J377" s="286"/>
      <c r="K377" s="286"/>
      <c r="L377" s="286"/>
      <c r="M377" s="286"/>
      <c r="N377" s="300" t="s">
        <v>27</v>
      </c>
      <c r="O377" s="283" t="s">
        <v>61</v>
      </c>
      <c r="P377" s="301">
        <f>ROUND(SUM(P373:P375),2)</f>
        <v>129.14</v>
      </c>
    </row>
    <row r="378" spans="1:16">
      <c r="A378" s="324"/>
      <c r="B378" s="324"/>
      <c r="C378" s="324"/>
      <c r="D378" s="324"/>
      <c r="E378" s="324"/>
      <c r="F378" s="324"/>
      <c r="G378" s="324"/>
      <c r="H378" s="324"/>
      <c r="I378" s="324"/>
      <c r="J378" s="324"/>
      <c r="K378" s="324"/>
      <c r="L378" s="324"/>
      <c r="M378" s="324"/>
      <c r="N378" s="324"/>
      <c r="O378" s="324"/>
      <c r="P378" s="324"/>
    </row>
    <row r="379" ht="63" spans="1:16">
      <c r="A379" s="280" t="s">
        <v>172</v>
      </c>
      <c r="B379" s="285" t="s">
        <v>64</v>
      </c>
      <c r="C379" s="281">
        <v>10</v>
      </c>
      <c r="D379" s="282" t="str">
        <f>COMPOSIÇÕES!A200</f>
        <v>PINTURA COM ESMALTE SINTÉTICO EM ESQUADRIA DE MADEIRA, DUAS DEMÃOS, COM RASPAGEM E APARELHAMENTO COM ZARCÃO</v>
      </c>
      <c r="E379" s="280" t="s">
        <v>66</v>
      </c>
      <c r="F379" s="283"/>
      <c r="G379" s="283"/>
      <c r="H379" s="283"/>
      <c r="I379" s="283"/>
      <c r="J379" s="300"/>
      <c r="K379" s="283"/>
      <c r="L379" s="300"/>
      <c r="M379" s="283"/>
      <c r="N379" s="300"/>
      <c r="O379" s="283"/>
      <c r="P379" s="301"/>
    </row>
    <row r="380" ht="15.75" spans="1:16">
      <c r="A380" s="280"/>
      <c r="B380" s="280"/>
      <c r="C380" s="281"/>
      <c r="D380" s="282"/>
      <c r="E380" s="280"/>
      <c r="F380" s="283"/>
      <c r="G380" s="283"/>
      <c r="H380" s="283"/>
      <c r="I380" s="283"/>
      <c r="J380" s="300"/>
      <c r="K380" s="283"/>
      <c r="L380" s="300"/>
      <c r="M380" s="283"/>
      <c r="N380" s="300"/>
      <c r="O380" s="283"/>
      <c r="P380" s="301"/>
    </row>
    <row r="381" ht="15.75" spans="1:16">
      <c r="A381" s="280"/>
      <c r="B381" s="280"/>
      <c r="C381" s="284"/>
      <c r="D381" s="288" t="s">
        <v>92</v>
      </c>
      <c r="E381" s="280"/>
      <c r="F381" s="283">
        <v>0.6</v>
      </c>
      <c r="G381" s="286" t="s">
        <v>60</v>
      </c>
      <c r="H381" s="286">
        <v>2.1</v>
      </c>
      <c r="I381" s="286" t="s">
        <v>60</v>
      </c>
      <c r="J381" s="286"/>
      <c r="K381" s="286" t="s">
        <v>60</v>
      </c>
      <c r="L381" s="286"/>
      <c r="M381" s="286" t="s">
        <v>60</v>
      </c>
      <c r="N381" s="286">
        <v>2</v>
      </c>
      <c r="O381" s="286" t="s">
        <v>61</v>
      </c>
      <c r="P381" s="302">
        <f t="shared" ref="P381:P382" si="12">PRODUCT(F381:N381)</f>
        <v>2.52</v>
      </c>
    </row>
    <row r="382" ht="15.75" spans="1:16">
      <c r="A382" s="280"/>
      <c r="B382" s="280"/>
      <c r="C382" s="284"/>
      <c r="D382" s="288" t="s">
        <v>93</v>
      </c>
      <c r="E382" s="280"/>
      <c r="F382" s="283">
        <v>0.8</v>
      </c>
      <c r="G382" s="286" t="s">
        <v>60</v>
      </c>
      <c r="H382" s="286">
        <v>2.1</v>
      </c>
      <c r="I382" s="286" t="s">
        <v>60</v>
      </c>
      <c r="J382" s="286"/>
      <c r="K382" s="286" t="s">
        <v>60</v>
      </c>
      <c r="L382" s="286"/>
      <c r="M382" s="286" t="s">
        <v>60</v>
      </c>
      <c r="N382" s="286">
        <v>1</v>
      </c>
      <c r="O382" s="286" t="s">
        <v>61</v>
      </c>
      <c r="P382" s="302">
        <f t="shared" si="12"/>
        <v>1.68</v>
      </c>
    </row>
    <row r="383" ht="15.75" spans="1:16">
      <c r="A383" s="280"/>
      <c r="B383" s="280"/>
      <c r="C383" s="284"/>
      <c r="D383" s="288"/>
      <c r="E383" s="280"/>
      <c r="F383" s="283"/>
      <c r="G383" s="286"/>
      <c r="H383" s="286"/>
      <c r="I383" s="286"/>
      <c r="J383" s="286"/>
      <c r="K383" s="286"/>
      <c r="L383" s="286"/>
      <c r="M383" s="286"/>
      <c r="N383" s="286"/>
      <c r="O383" s="286"/>
      <c r="P383" s="302"/>
    </row>
    <row r="384" ht="15.75" spans="1:16">
      <c r="A384" s="280"/>
      <c r="B384" s="280"/>
      <c r="C384" s="284"/>
      <c r="D384" s="285"/>
      <c r="E384" s="280"/>
      <c r="F384" s="283"/>
      <c r="G384" s="286"/>
      <c r="H384" s="286"/>
      <c r="I384" s="286"/>
      <c r="J384" s="286"/>
      <c r="K384" s="286"/>
      <c r="L384" s="286"/>
      <c r="M384" s="286"/>
      <c r="N384" s="300" t="s">
        <v>27</v>
      </c>
      <c r="O384" s="283" t="s">
        <v>61</v>
      </c>
      <c r="P384" s="301">
        <f>ROUND(SUM(P381:P382),2)</f>
        <v>4.2</v>
      </c>
    </row>
    <row r="385" spans="1:16">
      <c r="A385" s="324"/>
      <c r="B385" s="324"/>
      <c r="C385" s="324"/>
      <c r="D385" s="324"/>
      <c r="E385" s="324"/>
      <c r="F385" s="324"/>
      <c r="G385" s="324"/>
      <c r="H385" s="324"/>
      <c r="I385" s="324"/>
      <c r="J385" s="324"/>
      <c r="K385" s="324"/>
      <c r="L385" s="324"/>
      <c r="M385" s="324"/>
      <c r="N385" s="324"/>
      <c r="O385" s="324"/>
      <c r="P385" s="324"/>
    </row>
    <row r="386" ht="78.75" spans="1:16">
      <c r="A386" s="280" t="s">
        <v>173</v>
      </c>
      <c r="B386" s="285" t="s">
        <v>64</v>
      </c>
      <c r="C386" s="281">
        <v>16</v>
      </c>
      <c r="D386" s="282" t="str">
        <f>COMPOSIÇÕES!A317</f>
        <v>PINTURA DE FUNDO (TIPO ZARÃO) PULVERIZADA SOBRE SUPERFÍCIES METÁLICAS COM ACABAMENTO EM PINTURA (TIPO ESMALTE SINTÉTICO) PULVERIZADA, DUAS DEMÃOS, INCLUSO LIXAMENTO.</v>
      </c>
      <c r="E386" s="280" t="s">
        <v>66</v>
      </c>
      <c r="F386" s="283"/>
      <c r="G386" s="283"/>
      <c r="H386" s="283"/>
      <c r="I386" s="283"/>
      <c r="J386" s="300"/>
      <c r="K386" s="283"/>
      <c r="L386" s="300"/>
      <c r="M386" s="283"/>
      <c r="N386" s="300"/>
      <c r="O386" s="283"/>
      <c r="P386" s="301"/>
    </row>
    <row r="387" ht="15.75" spans="1:16">
      <c r="A387" s="280"/>
      <c r="B387" s="280"/>
      <c r="C387" s="281"/>
      <c r="D387" s="282"/>
      <c r="E387" s="280"/>
      <c r="F387" s="283"/>
      <c r="G387" s="283"/>
      <c r="H387" s="283"/>
      <c r="I387" s="283"/>
      <c r="J387" s="300"/>
      <c r="K387" s="283"/>
      <c r="L387" s="300"/>
      <c r="M387" s="283"/>
      <c r="N387" s="300"/>
      <c r="O387" s="283"/>
      <c r="P387" s="301"/>
    </row>
    <row r="388" ht="15.75" spans="1:16">
      <c r="A388" s="280"/>
      <c r="B388" s="280"/>
      <c r="C388" s="284"/>
      <c r="D388" s="288" t="s">
        <v>74</v>
      </c>
      <c r="E388" s="280"/>
      <c r="F388" s="283">
        <v>25</v>
      </c>
      <c r="G388" s="286" t="s">
        <v>60</v>
      </c>
      <c r="H388" s="286">
        <f>2*PI()*(0.08/2)</f>
        <v>0.251327412287183</v>
      </c>
      <c r="I388" s="286" t="s">
        <v>60</v>
      </c>
      <c r="J388" s="286"/>
      <c r="K388" s="286" t="s">
        <v>60</v>
      </c>
      <c r="L388" s="286"/>
      <c r="M388" s="286" t="s">
        <v>60</v>
      </c>
      <c r="N388" s="286"/>
      <c r="O388" s="286" t="s">
        <v>61</v>
      </c>
      <c r="P388" s="302">
        <f t="shared" ref="P388:P389" si="13">PRODUCT(F388:N388)</f>
        <v>6.28318530717959</v>
      </c>
    </row>
    <row r="389" ht="15.75" spans="1:16">
      <c r="A389" s="280"/>
      <c r="B389" s="280"/>
      <c r="C389" s="284"/>
      <c r="D389" s="288" t="s">
        <v>75</v>
      </c>
      <c r="E389" s="280"/>
      <c r="F389" s="283">
        <v>25</v>
      </c>
      <c r="G389" s="286" t="s">
        <v>60</v>
      </c>
      <c r="H389" s="286">
        <f>2*PI()*(0.08/2)</f>
        <v>0.251327412287183</v>
      </c>
      <c r="I389" s="286" t="s">
        <v>60</v>
      </c>
      <c r="J389" s="286"/>
      <c r="K389" s="286" t="s">
        <v>60</v>
      </c>
      <c r="L389" s="286"/>
      <c r="M389" s="286" t="s">
        <v>60</v>
      </c>
      <c r="N389" s="286"/>
      <c r="O389" s="286" t="s">
        <v>61</v>
      </c>
      <c r="P389" s="302">
        <f t="shared" si="13"/>
        <v>6.28318530717959</v>
      </c>
    </row>
    <row r="390" ht="15.75" spans="1:16">
      <c r="A390" s="280"/>
      <c r="B390" s="280"/>
      <c r="C390" s="284"/>
      <c r="D390" s="288"/>
      <c r="E390" s="280"/>
      <c r="F390" s="283"/>
      <c r="G390" s="286"/>
      <c r="H390" s="286"/>
      <c r="I390" s="286"/>
      <c r="J390" s="286"/>
      <c r="K390" s="286"/>
      <c r="L390" s="286"/>
      <c r="M390" s="286"/>
      <c r="N390" s="286"/>
      <c r="O390" s="286"/>
      <c r="P390" s="302"/>
    </row>
    <row r="391" ht="15.75" spans="1:16">
      <c r="A391" s="280"/>
      <c r="B391" s="280"/>
      <c r="C391" s="284"/>
      <c r="D391" s="285"/>
      <c r="E391" s="280"/>
      <c r="F391" s="283"/>
      <c r="G391" s="286"/>
      <c r="H391" s="286"/>
      <c r="I391" s="286"/>
      <c r="J391" s="286"/>
      <c r="K391" s="286"/>
      <c r="L391" s="286"/>
      <c r="M391" s="286"/>
      <c r="N391" s="300" t="s">
        <v>27</v>
      </c>
      <c r="O391" s="283" t="s">
        <v>61</v>
      </c>
      <c r="P391" s="301">
        <f>ROUND(SUM(P388:P389),2)</f>
        <v>12.57</v>
      </c>
    </row>
    <row r="392" spans="1:16">
      <c r="A392" s="324"/>
      <c r="B392" s="324"/>
      <c r="C392" s="324"/>
      <c r="D392" s="324"/>
      <c r="E392" s="324"/>
      <c r="F392" s="324"/>
      <c r="G392" s="324"/>
      <c r="H392" s="324"/>
      <c r="I392" s="324"/>
      <c r="J392" s="324"/>
      <c r="K392" s="324"/>
      <c r="L392" s="324"/>
      <c r="M392" s="324"/>
      <c r="N392" s="324"/>
      <c r="O392" s="324"/>
      <c r="P392" s="324"/>
    </row>
    <row r="393" spans="1:16">
      <c r="A393" s="324"/>
      <c r="B393" s="324"/>
      <c r="C393" s="324"/>
      <c r="D393" s="324"/>
      <c r="E393" s="324"/>
      <c r="F393" s="324"/>
      <c r="G393" s="324"/>
      <c r="H393" s="324"/>
      <c r="I393" s="324"/>
      <c r="J393" s="324"/>
      <c r="K393" s="324"/>
      <c r="L393" s="324"/>
      <c r="M393" s="324"/>
      <c r="N393" s="324"/>
      <c r="O393" s="324"/>
      <c r="P393" s="324"/>
    </row>
    <row r="394" spans="1:16">
      <c r="A394" s="324"/>
      <c r="B394" s="324"/>
      <c r="C394" s="324"/>
      <c r="D394" s="324"/>
      <c r="E394" s="324"/>
      <c r="F394" s="324"/>
      <c r="G394" s="324"/>
      <c r="H394" s="324"/>
      <c r="I394" s="324"/>
      <c r="J394" s="324"/>
      <c r="K394" s="324"/>
      <c r="L394" s="324"/>
      <c r="M394" s="324"/>
      <c r="N394" s="324"/>
      <c r="O394" s="324"/>
      <c r="P394" s="324"/>
    </row>
    <row r="395" s="252" customFormat="1" ht="15.75" spans="1:16">
      <c r="A395" s="274" t="s">
        <v>25</v>
      </c>
      <c r="B395" s="287" t="s">
        <v>174</v>
      </c>
      <c r="C395" s="287"/>
      <c r="D395" s="287"/>
      <c r="E395" s="274"/>
      <c r="F395" s="274"/>
      <c r="G395" s="274"/>
      <c r="H395" s="274"/>
      <c r="I395" s="274"/>
      <c r="J395" s="274"/>
      <c r="K395" s="274"/>
      <c r="L395" s="274"/>
      <c r="M395" s="274"/>
      <c r="N395" s="274"/>
      <c r="O395" s="274"/>
      <c r="P395" s="274"/>
    </row>
    <row r="396" spans="1:16">
      <c r="A396" s="324"/>
      <c r="B396" s="324"/>
      <c r="C396" s="324"/>
      <c r="D396" s="324"/>
      <c r="E396" s="324"/>
      <c r="F396" s="324"/>
      <c r="G396" s="324"/>
      <c r="H396" s="324"/>
      <c r="I396" s="324"/>
      <c r="J396" s="324"/>
      <c r="K396" s="324"/>
      <c r="L396" s="324"/>
      <c r="M396" s="324"/>
      <c r="N396" s="324"/>
      <c r="O396" s="324"/>
      <c r="P396" s="324"/>
    </row>
    <row r="397" ht="63" spans="1:16">
      <c r="A397" s="280" t="s">
        <v>175</v>
      </c>
      <c r="B397" s="310" t="s">
        <v>57</v>
      </c>
      <c r="C397" s="281">
        <v>89578</v>
      </c>
      <c r="D397" s="282" t="s">
        <v>176</v>
      </c>
      <c r="E397" s="280" t="s">
        <v>70</v>
      </c>
      <c r="F397" s="283"/>
      <c r="G397" s="283"/>
      <c r="H397" s="283"/>
      <c r="I397" s="283"/>
      <c r="J397" s="300"/>
      <c r="K397" s="283"/>
      <c r="L397" s="300"/>
      <c r="M397" s="283"/>
      <c r="N397" s="300"/>
      <c r="O397" s="283"/>
      <c r="P397" s="301"/>
    </row>
    <row r="398" ht="15.75" spans="1:16">
      <c r="A398" s="280"/>
      <c r="B398" s="280"/>
      <c r="C398" s="281"/>
      <c r="D398" s="282"/>
      <c r="E398" s="280"/>
      <c r="F398" s="283"/>
      <c r="G398" s="283"/>
      <c r="H398" s="283"/>
      <c r="I398" s="283"/>
      <c r="J398" s="300"/>
      <c r="K398" s="283"/>
      <c r="L398" s="300"/>
      <c r="M398" s="283"/>
      <c r="N398" s="300"/>
      <c r="O398" s="283"/>
      <c r="P398" s="301"/>
    </row>
    <row r="399" ht="15.75" spans="1:16">
      <c r="A399" s="280"/>
      <c r="B399" s="280"/>
      <c r="C399" s="284"/>
      <c r="D399" s="288" t="s">
        <v>177</v>
      </c>
      <c r="E399" s="280"/>
      <c r="F399" s="283">
        <v>54</v>
      </c>
      <c r="G399" s="286" t="s">
        <v>60</v>
      </c>
      <c r="H399" s="315"/>
      <c r="I399" s="286" t="s">
        <v>60</v>
      </c>
      <c r="J399" s="286"/>
      <c r="K399" s="286" t="s">
        <v>60</v>
      </c>
      <c r="L399" s="286"/>
      <c r="M399" s="286" t="s">
        <v>60</v>
      </c>
      <c r="N399" s="286"/>
      <c r="O399" s="286" t="s">
        <v>61</v>
      </c>
      <c r="P399" s="302">
        <f>PRODUCT(F399:N399)</f>
        <v>54</v>
      </c>
    </row>
    <row r="400" ht="15.75" spans="1:16">
      <c r="A400" s="280"/>
      <c r="B400" s="280"/>
      <c r="C400" s="284"/>
      <c r="D400" s="288"/>
      <c r="E400" s="280"/>
      <c r="F400" s="283"/>
      <c r="G400" s="286"/>
      <c r="H400" s="315"/>
      <c r="I400" s="286"/>
      <c r="J400" s="286"/>
      <c r="K400" s="286"/>
      <c r="L400" s="286"/>
      <c r="M400" s="286"/>
      <c r="N400" s="286"/>
      <c r="O400" s="286"/>
      <c r="P400" s="302"/>
    </row>
    <row r="401" ht="15.75" spans="1:16">
      <c r="A401" s="280"/>
      <c r="B401" s="280"/>
      <c r="C401" s="284"/>
      <c r="D401" s="285"/>
      <c r="E401" s="280"/>
      <c r="F401" s="283"/>
      <c r="G401" s="286"/>
      <c r="H401" s="286"/>
      <c r="I401" s="286"/>
      <c r="J401" s="286"/>
      <c r="K401" s="286"/>
      <c r="L401" s="286"/>
      <c r="M401" s="286"/>
      <c r="N401" s="300" t="s">
        <v>27</v>
      </c>
      <c r="O401" s="283" t="s">
        <v>61</v>
      </c>
      <c r="P401" s="301">
        <f>ROUND(SUM(P399:P399),2)</f>
        <v>54</v>
      </c>
    </row>
    <row r="402" ht="15.75" spans="1:16">
      <c r="A402" s="280"/>
      <c r="B402" s="280"/>
      <c r="C402" s="284"/>
      <c r="D402" s="285"/>
      <c r="E402" s="280"/>
      <c r="F402" s="283"/>
      <c r="G402" s="286"/>
      <c r="H402" s="286"/>
      <c r="I402" s="286"/>
      <c r="J402" s="286"/>
      <c r="K402" s="286"/>
      <c r="L402" s="286"/>
      <c r="M402" s="286"/>
      <c r="N402" s="300"/>
      <c r="O402" s="283"/>
      <c r="P402" s="301"/>
    </row>
    <row r="403" ht="63" spans="1:16">
      <c r="A403" s="280" t="s">
        <v>178</v>
      </c>
      <c r="B403" s="310" t="s">
        <v>57</v>
      </c>
      <c r="C403" s="281">
        <v>89584</v>
      </c>
      <c r="D403" s="282" t="s">
        <v>179</v>
      </c>
      <c r="E403" s="280" t="s">
        <v>50</v>
      </c>
      <c r="F403" s="283"/>
      <c r="G403" s="283"/>
      <c r="H403" s="283"/>
      <c r="I403" s="283"/>
      <c r="J403" s="300"/>
      <c r="K403" s="283"/>
      <c r="L403" s="300"/>
      <c r="M403" s="283"/>
      <c r="N403" s="300"/>
      <c r="O403" s="283"/>
      <c r="P403" s="301"/>
    </row>
    <row r="404" ht="15.75" spans="1:16">
      <c r="A404" s="280"/>
      <c r="B404" s="280"/>
      <c r="C404" s="281"/>
      <c r="D404" s="282"/>
      <c r="E404" s="280"/>
      <c r="F404" s="283"/>
      <c r="G404" s="283"/>
      <c r="H404" s="283"/>
      <c r="I404" s="283"/>
      <c r="J404" s="300"/>
      <c r="K404" s="283"/>
      <c r="L404" s="300"/>
      <c r="M404" s="283"/>
      <c r="N404" s="300"/>
      <c r="O404" s="283"/>
      <c r="P404" s="301"/>
    </row>
    <row r="405" ht="15.75" spans="1:16">
      <c r="A405" s="280"/>
      <c r="B405" s="280"/>
      <c r="C405" s="284"/>
      <c r="D405" s="288" t="s">
        <v>177</v>
      </c>
      <c r="E405" s="280"/>
      <c r="F405" s="283">
        <v>6</v>
      </c>
      <c r="G405" s="286" t="s">
        <v>60</v>
      </c>
      <c r="H405" s="315"/>
      <c r="I405" s="286" t="s">
        <v>60</v>
      </c>
      <c r="J405" s="286"/>
      <c r="K405" s="286" t="s">
        <v>60</v>
      </c>
      <c r="L405" s="286"/>
      <c r="M405" s="286" t="s">
        <v>60</v>
      </c>
      <c r="N405" s="286"/>
      <c r="O405" s="286" t="s">
        <v>61</v>
      </c>
      <c r="P405" s="302">
        <f>PRODUCT(F405:N405)</f>
        <v>6</v>
      </c>
    </row>
    <row r="406" ht="15.75" spans="1:16">
      <c r="A406" s="280"/>
      <c r="B406" s="280"/>
      <c r="C406" s="284"/>
      <c r="D406" s="288"/>
      <c r="E406" s="280"/>
      <c r="F406" s="283"/>
      <c r="G406" s="286"/>
      <c r="H406" s="315"/>
      <c r="I406" s="286"/>
      <c r="J406" s="286"/>
      <c r="K406" s="286"/>
      <c r="L406" s="286"/>
      <c r="M406" s="286"/>
      <c r="N406" s="286"/>
      <c r="O406" s="286"/>
      <c r="P406" s="302"/>
    </row>
    <row r="407" ht="15.75" spans="1:16">
      <c r="A407" s="280"/>
      <c r="B407" s="280"/>
      <c r="C407" s="284"/>
      <c r="D407" s="285"/>
      <c r="E407" s="280"/>
      <c r="F407" s="283"/>
      <c r="G407" s="286"/>
      <c r="H407" s="286"/>
      <c r="I407" s="286"/>
      <c r="J407" s="286"/>
      <c r="K407" s="286"/>
      <c r="L407" s="286"/>
      <c r="M407" s="286"/>
      <c r="N407" s="300" t="s">
        <v>27</v>
      </c>
      <c r="O407" s="283" t="s">
        <v>61</v>
      </c>
      <c r="P407" s="301">
        <f>ROUND(SUM(P405:P405),2)</f>
        <v>6</v>
      </c>
    </row>
    <row r="408" spans="1:16">
      <c r="A408" s="324"/>
      <c r="B408" s="324"/>
      <c r="C408" s="324"/>
      <c r="D408" s="324"/>
      <c r="E408" s="324"/>
      <c r="F408" s="324"/>
      <c r="G408" s="324"/>
      <c r="H408" s="324"/>
      <c r="I408" s="324"/>
      <c r="J408" s="324"/>
      <c r="K408" s="324"/>
      <c r="L408" s="324"/>
      <c r="M408" s="324"/>
      <c r="N408" s="324"/>
      <c r="O408" s="324"/>
      <c r="P408" s="324"/>
    </row>
    <row r="409" s="252" customFormat="1" ht="15.75" spans="1:16">
      <c r="A409" s="325">
        <v>10</v>
      </c>
      <c r="B409" s="287" t="s">
        <v>180</v>
      </c>
      <c r="C409" s="287"/>
      <c r="D409" s="287"/>
      <c r="E409" s="274"/>
      <c r="F409" s="274"/>
      <c r="G409" s="274"/>
      <c r="H409" s="274"/>
      <c r="I409" s="274"/>
      <c r="J409" s="274"/>
      <c r="K409" s="274"/>
      <c r="L409" s="274"/>
      <c r="M409" s="274"/>
      <c r="N409" s="274"/>
      <c r="O409" s="274"/>
      <c r="P409" s="274"/>
    </row>
    <row r="410" spans="1:16">
      <c r="A410" s="324"/>
      <c r="B410" s="324"/>
      <c r="C410" s="324"/>
      <c r="D410" s="324"/>
      <c r="E410" s="324"/>
      <c r="F410" s="324"/>
      <c r="G410" s="324"/>
      <c r="H410" s="324"/>
      <c r="I410" s="324"/>
      <c r="J410" s="324"/>
      <c r="K410" s="324"/>
      <c r="L410" s="324"/>
      <c r="M410" s="324"/>
      <c r="N410" s="324"/>
      <c r="O410" s="324"/>
      <c r="P410" s="324"/>
    </row>
    <row r="411" ht="47.25" spans="1:16">
      <c r="A411" s="280" t="s">
        <v>181</v>
      </c>
      <c r="B411" s="310" t="s">
        <v>57</v>
      </c>
      <c r="C411" s="281">
        <v>89450</v>
      </c>
      <c r="D411" s="282" t="s">
        <v>182</v>
      </c>
      <c r="E411" s="280" t="s">
        <v>70</v>
      </c>
      <c r="F411" s="283"/>
      <c r="G411" s="283"/>
      <c r="H411" s="283"/>
      <c r="I411" s="283"/>
      <c r="J411" s="300"/>
      <c r="K411" s="283"/>
      <c r="L411" s="300"/>
      <c r="M411" s="283"/>
      <c r="N411" s="300"/>
      <c r="O411" s="283"/>
      <c r="P411" s="301"/>
    </row>
    <row r="412" ht="15.75" spans="1:16">
      <c r="A412" s="280"/>
      <c r="B412" s="280"/>
      <c r="C412" s="281"/>
      <c r="D412" s="282"/>
      <c r="E412" s="280"/>
      <c r="F412" s="283"/>
      <c r="G412" s="283"/>
      <c r="H412" s="283"/>
      <c r="I412" s="283"/>
      <c r="J412" s="300"/>
      <c r="K412" s="283"/>
      <c r="L412" s="300"/>
      <c r="M412" s="283"/>
      <c r="N412" s="300"/>
      <c r="O412" s="283"/>
      <c r="P412" s="301"/>
    </row>
    <row r="413" ht="15.75" spans="1:16">
      <c r="A413" s="280"/>
      <c r="B413" s="280"/>
      <c r="C413" s="284"/>
      <c r="D413" s="288" t="s">
        <v>71</v>
      </c>
      <c r="E413" s="280"/>
      <c r="F413" s="283"/>
      <c r="G413" s="286"/>
      <c r="H413" s="286"/>
      <c r="I413" s="286"/>
      <c r="J413" s="286"/>
      <c r="K413" s="286"/>
      <c r="L413" s="286"/>
      <c r="M413" s="286"/>
      <c r="N413" s="286"/>
      <c r="O413" s="286"/>
      <c r="P413" s="302"/>
    </row>
    <row r="414" ht="15.75" spans="1:16">
      <c r="A414" s="280"/>
      <c r="B414" s="280"/>
      <c r="C414" s="284"/>
      <c r="D414" s="288" t="s">
        <v>72</v>
      </c>
      <c r="E414" s="280"/>
      <c r="F414" s="283">
        <v>23.1</v>
      </c>
      <c r="G414" s="286" t="s">
        <v>60</v>
      </c>
      <c r="H414" s="286"/>
      <c r="I414" s="286" t="s">
        <v>60</v>
      </c>
      <c r="J414" s="303"/>
      <c r="K414" s="286" t="s">
        <v>60</v>
      </c>
      <c r="L414" s="286"/>
      <c r="M414" s="286" t="s">
        <v>60</v>
      </c>
      <c r="N414" s="286"/>
      <c r="O414" s="286" t="s">
        <v>61</v>
      </c>
      <c r="P414" s="302">
        <f>PRODUCT(F414:N414)</f>
        <v>23.1</v>
      </c>
    </row>
    <row r="415" ht="15.75" spans="1:16">
      <c r="A415" s="280"/>
      <c r="B415" s="280"/>
      <c r="C415" s="284"/>
      <c r="D415" s="285"/>
      <c r="E415" s="280"/>
      <c r="F415" s="283"/>
      <c r="G415" s="286"/>
      <c r="H415" s="286"/>
      <c r="I415" s="286"/>
      <c r="J415" s="286"/>
      <c r="K415" s="286"/>
      <c r="L415" s="286"/>
      <c r="M415" s="286"/>
      <c r="N415" s="300"/>
      <c r="O415" s="283"/>
      <c r="P415" s="301"/>
    </row>
    <row r="416" ht="15.75" spans="1:16">
      <c r="A416" s="280"/>
      <c r="B416" s="280"/>
      <c r="C416" s="284"/>
      <c r="D416" s="285"/>
      <c r="E416" s="280"/>
      <c r="F416" s="283"/>
      <c r="G416" s="286"/>
      <c r="H416" s="286"/>
      <c r="I416" s="286"/>
      <c r="J416" s="286"/>
      <c r="K416" s="286"/>
      <c r="L416" s="286"/>
      <c r="M416" s="286"/>
      <c r="N416" s="300" t="s">
        <v>27</v>
      </c>
      <c r="O416" s="283" t="s">
        <v>61</v>
      </c>
      <c r="P416" s="301">
        <f>ROUND(SUM(P414),2)</f>
        <v>23.1</v>
      </c>
    </row>
    <row r="417" spans="1:16">
      <c r="A417" s="324"/>
      <c r="B417" s="324"/>
      <c r="C417" s="324"/>
      <c r="D417" s="324"/>
      <c r="E417" s="324"/>
      <c r="F417" s="324"/>
      <c r="G417" s="324"/>
      <c r="H417" s="324"/>
      <c r="I417" s="324"/>
      <c r="J417" s="324"/>
      <c r="K417" s="324"/>
      <c r="L417" s="324"/>
      <c r="M417" s="324"/>
      <c r="N417" s="324"/>
      <c r="O417" s="324"/>
      <c r="P417" s="324"/>
    </row>
    <row r="418" ht="47.25" spans="1:16">
      <c r="A418" s="280" t="s">
        <v>183</v>
      </c>
      <c r="B418" s="310" t="s">
        <v>57</v>
      </c>
      <c r="C418" s="281">
        <v>89449</v>
      </c>
      <c r="D418" s="282" t="s">
        <v>184</v>
      </c>
      <c r="E418" s="280" t="s">
        <v>70</v>
      </c>
      <c r="F418" s="283"/>
      <c r="G418" s="283"/>
      <c r="H418" s="283"/>
      <c r="I418" s="283"/>
      <c r="J418" s="300"/>
      <c r="K418" s="283"/>
      <c r="L418" s="300"/>
      <c r="M418" s="283"/>
      <c r="N418" s="300"/>
      <c r="O418" s="283"/>
      <c r="P418" s="301"/>
    </row>
    <row r="419" ht="15.75" spans="1:16">
      <c r="A419" s="280"/>
      <c r="B419" s="280"/>
      <c r="C419" s="281"/>
      <c r="D419" s="282"/>
      <c r="E419" s="280"/>
      <c r="F419" s="283"/>
      <c r="G419" s="283"/>
      <c r="H419" s="283"/>
      <c r="I419" s="283"/>
      <c r="J419" s="300"/>
      <c r="K419" s="283"/>
      <c r="L419" s="300"/>
      <c r="M419" s="283"/>
      <c r="N419" s="300"/>
      <c r="O419" s="283"/>
      <c r="P419" s="301"/>
    </row>
    <row r="420" ht="15.75" spans="1:16">
      <c r="A420" s="280"/>
      <c r="B420" s="280"/>
      <c r="C420" s="284"/>
      <c r="D420" s="288" t="s">
        <v>71</v>
      </c>
      <c r="E420" s="280"/>
      <c r="F420" s="283"/>
      <c r="G420" s="286"/>
      <c r="H420" s="286"/>
      <c r="I420" s="286"/>
      <c r="J420" s="286"/>
      <c r="K420" s="286"/>
      <c r="L420" s="286"/>
      <c r="M420" s="286"/>
      <c r="N420" s="286"/>
      <c r="O420" s="286"/>
      <c r="P420" s="302"/>
    </row>
    <row r="421" ht="15.75" spans="1:16">
      <c r="A421" s="280"/>
      <c r="B421" s="280"/>
      <c r="C421" s="284"/>
      <c r="D421" s="288" t="s">
        <v>73</v>
      </c>
      <c r="E421" s="280"/>
      <c r="F421" s="283">
        <f>79.5+39</f>
        <v>118.5</v>
      </c>
      <c r="G421" s="286" t="s">
        <v>60</v>
      </c>
      <c r="H421" s="286"/>
      <c r="I421" s="286" t="s">
        <v>60</v>
      </c>
      <c r="J421" s="303"/>
      <c r="K421" s="286" t="s">
        <v>60</v>
      </c>
      <c r="L421" s="286"/>
      <c r="M421" s="286" t="s">
        <v>60</v>
      </c>
      <c r="N421" s="286"/>
      <c r="O421" s="286" t="s">
        <v>61</v>
      </c>
      <c r="P421" s="302">
        <f t="shared" ref="P421" si="14">PRODUCT(F421:N421)</f>
        <v>118.5</v>
      </c>
    </row>
    <row r="422" ht="15.75" spans="1:16">
      <c r="A422" s="280"/>
      <c r="B422" s="280"/>
      <c r="C422" s="284"/>
      <c r="D422" s="285"/>
      <c r="E422" s="280"/>
      <c r="F422" s="283"/>
      <c r="G422" s="286"/>
      <c r="H422" s="286"/>
      <c r="I422" s="286"/>
      <c r="J422" s="286"/>
      <c r="K422" s="286"/>
      <c r="L422" s="286"/>
      <c r="M422" s="286"/>
      <c r="N422" s="300"/>
      <c r="O422" s="283"/>
      <c r="P422" s="301"/>
    </row>
    <row r="423" ht="15.75" spans="1:16">
      <c r="A423" s="280"/>
      <c r="B423" s="280"/>
      <c r="C423" s="284"/>
      <c r="D423" s="285"/>
      <c r="E423" s="280"/>
      <c r="F423" s="283"/>
      <c r="G423" s="286"/>
      <c r="H423" s="286"/>
      <c r="I423" s="286"/>
      <c r="J423" s="286"/>
      <c r="K423" s="286"/>
      <c r="L423" s="286"/>
      <c r="M423" s="286"/>
      <c r="N423" s="300" t="s">
        <v>27</v>
      </c>
      <c r="O423" s="283" t="s">
        <v>61</v>
      </c>
      <c r="P423" s="301">
        <f>ROUND(SUM(P421),2)</f>
        <v>118.5</v>
      </c>
    </row>
    <row r="424" spans="1:16">
      <c r="A424" s="324"/>
      <c r="B424" s="324"/>
      <c r="C424" s="324"/>
      <c r="D424" s="324"/>
      <c r="E424" s="324"/>
      <c r="F424" s="324"/>
      <c r="G424" s="324"/>
      <c r="H424" s="324"/>
      <c r="I424" s="324"/>
      <c r="J424" s="324"/>
      <c r="K424" s="324"/>
      <c r="L424" s="324"/>
      <c r="M424" s="324"/>
      <c r="N424" s="324"/>
      <c r="O424" s="324"/>
      <c r="P424" s="324"/>
    </row>
    <row r="425" spans="1:16">
      <c r="A425" s="324"/>
      <c r="B425" s="324"/>
      <c r="C425" s="324"/>
      <c r="D425" s="324"/>
      <c r="E425" s="324"/>
      <c r="F425" s="324"/>
      <c r="G425" s="324"/>
      <c r="H425" s="324"/>
      <c r="I425" s="324"/>
      <c r="J425" s="324"/>
      <c r="K425" s="324"/>
      <c r="L425" s="324"/>
      <c r="M425" s="324"/>
      <c r="N425" s="324"/>
      <c r="O425" s="324"/>
      <c r="P425" s="324"/>
    </row>
    <row r="426" ht="47.25" spans="1:16">
      <c r="A426" s="280" t="s">
        <v>185</v>
      </c>
      <c r="B426" s="310" t="s">
        <v>57</v>
      </c>
      <c r="C426" s="281">
        <v>89597</v>
      </c>
      <c r="D426" s="282" t="s">
        <v>186</v>
      </c>
      <c r="E426" s="280" t="s">
        <v>50</v>
      </c>
      <c r="F426" s="283"/>
      <c r="G426" s="283"/>
      <c r="H426" s="283"/>
      <c r="I426" s="283"/>
      <c r="J426" s="300"/>
      <c r="K426" s="283"/>
      <c r="L426" s="300"/>
      <c r="M426" s="283"/>
      <c r="N426" s="300"/>
      <c r="O426" s="283"/>
      <c r="P426" s="301"/>
    </row>
    <row r="427" ht="15.75" spans="1:16">
      <c r="A427" s="280"/>
      <c r="B427" s="280"/>
      <c r="C427" s="281"/>
      <c r="D427" s="282"/>
      <c r="E427" s="280"/>
      <c r="F427" s="283"/>
      <c r="G427" s="283"/>
      <c r="H427" s="283"/>
      <c r="I427" s="283"/>
      <c r="J427" s="300"/>
      <c r="K427" s="283"/>
      <c r="L427" s="300"/>
      <c r="M427" s="283"/>
      <c r="N427" s="300"/>
      <c r="O427" s="283"/>
      <c r="P427" s="301"/>
    </row>
    <row r="428" ht="15.75" spans="1:16">
      <c r="A428" s="280"/>
      <c r="B428" s="280"/>
      <c r="C428" s="284"/>
      <c r="D428" s="288" t="s">
        <v>71</v>
      </c>
      <c r="E428" s="280"/>
      <c r="F428" s="283"/>
      <c r="G428" s="286"/>
      <c r="H428" s="286"/>
      <c r="I428" s="286"/>
      <c r="J428" s="286"/>
      <c r="K428" s="286"/>
      <c r="L428" s="286"/>
      <c r="M428" s="286"/>
      <c r="N428" s="286"/>
      <c r="O428" s="286"/>
      <c r="P428" s="302"/>
    </row>
    <row r="429" ht="15.75" spans="1:16">
      <c r="A429" s="280"/>
      <c r="B429" s="280"/>
      <c r="C429" s="284"/>
      <c r="D429" s="288" t="s">
        <v>72</v>
      </c>
      <c r="E429" s="280"/>
      <c r="F429" s="283">
        <f>F414</f>
        <v>23.1</v>
      </c>
      <c r="G429" s="286" t="s">
        <v>60</v>
      </c>
      <c r="H429" s="286"/>
      <c r="I429" s="286" t="s">
        <v>60</v>
      </c>
      <c r="J429" s="303"/>
      <c r="K429" s="286" t="s">
        <v>60</v>
      </c>
      <c r="L429" s="286"/>
      <c r="M429" s="286" t="s">
        <v>60</v>
      </c>
      <c r="N429" s="315">
        <f>1/6</f>
        <v>0.166666666666667</v>
      </c>
      <c r="O429" s="286" t="s">
        <v>61</v>
      </c>
      <c r="P429" s="302">
        <f>ROUNDUP(PRODUCT(F429:N429),0)</f>
        <v>4</v>
      </c>
    </row>
    <row r="430" ht="15.75" spans="1:16">
      <c r="A430" s="280"/>
      <c r="B430" s="280"/>
      <c r="C430" s="284"/>
      <c r="D430" s="285"/>
      <c r="E430" s="280"/>
      <c r="F430" s="283"/>
      <c r="G430" s="286"/>
      <c r="H430" s="286"/>
      <c r="I430" s="286"/>
      <c r="J430" s="286"/>
      <c r="K430" s="286"/>
      <c r="L430" s="286"/>
      <c r="M430" s="286"/>
      <c r="N430" s="300"/>
      <c r="O430" s="283"/>
      <c r="P430" s="301"/>
    </row>
    <row r="431" ht="15.75" spans="1:16">
      <c r="A431" s="280"/>
      <c r="B431" s="280"/>
      <c r="C431" s="284"/>
      <c r="D431" s="285"/>
      <c r="E431" s="280"/>
      <c r="F431" s="283"/>
      <c r="G431" s="286"/>
      <c r="H431" s="286"/>
      <c r="I431" s="286"/>
      <c r="J431" s="286"/>
      <c r="K431" s="286"/>
      <c r="L431" s="286"/>
      <c r="M431" s="286"/>
      <c r="N431" s="300" t="s">
        <v>27</v>
      </c>
      <c r="O431" s="283" t="s">
        <v>61</v>
      </c>
      <c r="P431" s="301">
        <f>ROUND(SUM(P429),2)</f>
        <v>4</v>
      </c>
    </row>
    <row r="432" spans="1:16">
      <c r="A432" s="324"/>
      <c r="B432" s="324"/>
      <c r="C432" s="324"/>
      <c r="D432" s="324"/>
      <c r="E432" s="324"/>
      <c r="F432" s="324"/>
      <c r="G432" s="324"/>
      <c r="H432" s="324"/>
      <c r="I432" s="324"/>
      <c r="J432" s="324"/>
      <c r="K432" s="324"/>
      <c r="L432" s="324"/>
      <c r="M432" s="324"/>
      <c r="N432" s="324"/>
      <c r="O432" s="324"/>
      <c r="P432" s="324"/>
    </row>
    <row r="433" ht="47.25" spans="1:16">
      <c r="A433" s="280" t="s">
        <v>187</v>
      </c>
      <c r="B433" s="310" t="s">
        <v>57</v>
      </c>
      <c r="C433" s="281">
        <v>89575</v>
      </c>
      <c r="D433" s="282" t="s">
        <v>188</v>
      </c>
      <c r="E433" s="280" t="s">
        <v>50</v>
      </c>
      <c r="F433" s="283"/>
      <c r="G433" s="283"/>
      <c r="H433" s="283"/>
      <c r="I433" s="283"/>
      <c r="J433" s="300"/>
      <c r="K433" s="283"/>
      <c r="L433" s="300"/>
      <c r="M433" s="283"/>
      <c r="N433" s="300"/>
      <c r="O433" s="283"/>
      <c r="P433" s="301"/>
    </row>
    <row r="434" ht="15.75" spans="1:16">
      <c r="A434" s="280"/>
      <c r="B434" s="280"/>
      <c r="C434" s="281"/>
      <c r="D434" s="282"/>
      <c r="E434" s="280"/>
      <c r="F434" s="283"/>
      <c r="G434" s="283"/>
      <c r="H434" s="283"/>
      <c r="I434" s="283"/>
      <c r="J434" s="300"/>
      <c r="K434" s="283"/>
      <c r="L434" s="300"/>
      <c r="M434" s="283"/>
      <c r="N434" s="300"/>
      <c r="O434" s="283"/>
      <c r="P434" s="301"/>
    </row>
    <row r="435" ht="15.75" spans="1:16">
      <c r="A435" s="280"/>
      <c r="B435" s="280"/>
      <c r="C435" s="284"/>
      <c r="D435" s="288" t="s">
        <v>71</v>
      </c>
      <c r="E435" s="280"/>
      <c r="F435" s="283"/>
      <c r="G435" s="286"/>
      <c r="H435" s="286"/>
      <c r="I435" s="286"/>
      <c r="J435" s="286"/>
      <c r="K435" s="286"/>
      <c r="L435" s="286"/>
      <c r="M435" s="286"/>
      <c r="N435" s="286"/>
      <c r="O435" s="286"/>
      <c r="P435" s="302"/>
    </row>
    <row r="436" ht="15.75" spans="1:16">
      <c r="A436" s="280"/>
      <c r="B436" s="280"/>
      <c r="C436" s="284"/>
      <c r="D436" s="288" t="s">
        <v>73</v>
      </c>
      <c r="E436" s="280"/>
      <c r="F436" s="283">
        <f>F421</f>
        <v>118.5</v>
      </c>
      <c r="G436" s="286" t="s">
        <v>60</v>
      </c>
      <c r="H436" s="286"/>
      <c r="I436" s="286" t="s">
        <v>60</v>
      </c>
      <c r="J436" s="303"/>
      <c r="K436" s="286" t="s">
        <v>60</v>
      </c>
      <c r="L436" s="286"/>
      <c r="M436" s="286" t="s">
        <v>60</v>
      </c>
      <c r="N436" s="315">
        <f>1/6</f>
        <v>0.166666666666667</v>
      </c>
      <c r="O436" s="286" t="s">
        <v>61</v>
      </c>
      <c r="P436" s="302">
        <f>ROUNDUP(PRODUCT(F436:N436),0)</f>
        <v>20</v>
      </c>
    </row>
    <row r="437" ht="15.75" spans="1:16">
      <c r="A437" s="280"/>
      <c r="B437" s="280"/>
      <c r="C437" s="284"/>
      <c r="D437" s="285"/>
      <c r="E437" s="280"/>
      <c r="F437" s="283"/>
      <c r="G437" s="286"/>
      <c r="H437" s="286"/>
      <c r="I437" s="286"/>
      <c r="J437" s="286"/>
      <c r="K437" s="286"/>
      <c r="L437" s="286"/>
      <c r="M437" s="286"/>
      <c r="N437" s="300"/>
      <c r="O437" s="283"/>
      <c r="P437" s="301"/>
    </row>
    <row r="438" ht="15.75" spans="1:16">
      <c r="A438" s="280"/>
      <c r="B438" s="280"/>
      <c r="C438" s="284"/>
      <c r="D438" s="285"/>
      <c r="E438" s="280"/>
      <c r="F438" s="283"/>
      <c r="G438" s="286"/>
      <c r="H438" s="286"/>
      <c r="I438" s="286"/>
      <c r="J438" s="286"/>
      <c r="K438" s="286"/>
      <c r="L438" s="286"/>
      <c r="M438" s="286"/>
      <c r="N438" s="300" t="s">
        <v>27</v>
      </c>
      <c r="O438" s="283" t="s">
        <v>61</v>
      </c>
      <c r="P438" s="301">
        <f>ROUND(SUM(P436),2)</f>
        <v>20</v>
      </c>
    </row>
    <row r="439" spans="1:16">
      <c r="A439" s="324"/>
      <c r="B439" s="324"/>
      <c r="C439" s="324"/>
      <c r="D439" s="324"/>
      <c r="E439" s="324"/>
      <c r="F439" s="324"/>
      <c r="G439" s="324"/>
      <c r="H439" s="324"/>
      <c r="I439" s="324"/>
      <c r="J439" s="324"/>
      <c r="K439" s="324"/>
      <c r="L439" s="324"/>
      <c r="M439" s="324"/>
      <c r="N439" s="324"/>
      <c r="O439" s="324"/>
      <c r="P439" s="324"/>
    </row>
    <row r="440" ht="47.25" spans="1:16">
      <c r="A440" s="280" t="s">
        <v>189</v>
      </c>
      <c r="B440" s="310" t="s">
        <v>57</v>
      </c>
      <c r="C440" s="281">
        <v>89628</v>
      </c>
      <c r="D440" s="282" t="s">
        <v>190</v>
      </c>
      <c r="E440" s="280" t="s">
        <v>50</v>
      </c>
      <c r="F440" s="283"/>
      <c r="G440" s="283"/>
      <c r="H440" s="283"/>
      <c r="I440" s="283"/>
      <c r="J440" s="300"/>
      <c r="K440" s="283"/>
      <c r="L440" s="300"/>
      <c r="M440" s="283"/>
      <c r="N440" s="300"/>
      <c r="O440" s="283"/>
      <c r="P440" s="301"/>
    </row>
    <row r="441" ht="15.75" spans="1:16">
      <c r="A441" s="280"/>
      <c r="B441" s="280"/>
      <c r="C441" s="281"/>
      <c r="D441" s="282"/>
      <c r="E441" s="280"/>
      <c r="F441" s="283"/>
      <c r="G441" s="283"/>
      <c r="H441" s="283"/>
      <c r="I441" s="283"/>
      <c r="J441" s="300"/>
      <c r="K441" s="283"/>
      <c r="L441" s="300"/>
      <c r="M441" s="283"/>
      <c r="N441" s="300"/>
      <c r="O441" s="283"/>
      <c r="P441" s="301"/>
    </row>
    <row r="442" ht="15.75" spans="1:16">
      <c r="A442" s="280"/>
      <c r="B442" s="280"/>
      <c r="C442" s="284"/>
      <c r="D442" s="288" t="s">
        <v>71</v>
      </c>
      <c r="E442" s="280"/>
      <c r="F442" s="283"/>
      <c r="G442" s="286"/>
      <c r="H442" s="286"/>
      <c r="I442" s="286"/>
      <c r="J442" s="286"/>
      <c r="K442" s="286"/>
      <c r="L442" s="286"/>
      <c r="M442" s="286"/>
      <c r="N442" s="286"/>
      <c r="O442" s="286"/>
      <c r="P442" s="302"/>
    </row>
    <row r="443" ht="15.75" spans="1:16">
      <c r="A443" s="280"/>
      <c r="B443" s="280"/>
      <c r="C443" s="284"/>
      <c r="D443" s="288" t="s">
        <v>73</v>
      </c>
      <c r="E443" s="280"/>
      <c r="F443" s="283"/>
      <c r="G443" s="286" t="s">
        <v>60</v>
      </c>
      <c r="H443" s="286">
        <v>7</v>
      </c>
      <c r="I443" s="286" t="s">
        <v>60</v>
      </c>
      <c r="J443" s="303"/>
      <c r="K443" s="286" t="s">
        <v>60</v>
      </c>
      <c r="L443" s="286"/>
      <c r="M443" s="286" t="s">
        <v>60</v>
      </c>
      <c r="N443" s="315"/>
      <c r="O443" s="286" t="s">
        <v>61</v>
      </c>
      <c r="P443" s="302">
        <f t="shared" ref="P443" si="15">PRODUCT(F443:N443)</f>
        <v>7</v>
      </c>
    </row>
    <row r="444" ht="15.75" spans="1:16">
      <c r="A444" s="280"/>
      <c r="B444" s="280"/>
      <c r="C444" s="284"/>
      <c r="D444" s="285"/>
      <c r="E444" s="280"/>
      <c r="F444" s="283"/>
      <c r="G444" s="286"/>
      <c r="H444" s="286"/>
      <c r="I444" s="286"/>
      <c r="J444" s="286"/>
      <c r="K444" s="286"/>
      <c r="L444" s="286"/>
      <c r="M444" s="286"/>
      <c r="N444" s="300"/>
      <c r="O444" s="283"/>
      <c r="P444" s="301"/>
    </row>
    <row r="445" ht="15.75" spans="1:16">
      <c r="A445" s="280"/>
      <c r="B445" s="280"/>
      <c r="C445" s="284"/>
      <c r="D445" s="285"/>
      <c r="E445" s="280"/>
      <c r="F445" s="283"/>
      <c r="G445" s="286"/>
      <c r="H445" s="286"/>
      <c r="I445" s="286"/>
      <c r="J445" s="286"/>
      <c r="K445" s="286"/>
      <c r="L445" s="286"/>
      <c r="M445" s="286"/>
      <c r="N445" s="300" t="s">
        <v>27</v>
      </c>
      <c r="O445" s="283" t="s">
        <v>61</v>
      </c>
      <c r="P445" s="301">
        <f>ROUND(SUM(P443:P443),2)</f>
        <v>7</v>
      </c>
    </row>
    <row r="446" spans="1:16">
      <c r="A446" s="324"/>
      <c r="B446" s="324"/>
      <c r="C446" s="324"/>
      <c r="D446" s="324"/>
      <c r="E446" s="324"/>
      <c r="F446" s="324"/>
      <c r="G446" s="324"/>
      <c r="H446" s="324"/>
      <c r="I446" s="324"/>
      <c r="J446" s="324"/>
      <c r="K446" s="324"/>
      <c r="L446" s="324"/>
      <c r="M446" s="324"/>
      <c r="N446" s="324"/>
      <c r="O446" s="324"/>
      <c r="P446" s="324"/>
    </row>
    <row r="447" ht="47.25" spans="1:16">
      <c r="A447" s="280" t="s">
        <v>191</v>
      </c>
      <c r="B447" s="310" t="s">
        <v>57</v>
      </c>
      <c r="C447" s="281">
        <v>89625</v>
      </c>
      <c r="D447" s="282" t="s">
        <v>192</v>
      </c>
      <c r="E447" s="280" t="s">
        <v>50</v>
      </c>
      <c r="F447" s="283"/>
      <c r="G447" s="283"/>
      <c r="H447" s="283"/>
      <c r="I447" s="283"/>
      <c r="J447" s="300"/>
      <c r="K447" s="283"/>
      <c r="L447" s="300"/>
      <c r="M447" s="283"/>
      <c r="N447" s="300"/>
      <c r="O447" s="283"/>
      <c r="P447" s="301"/>
    </row>
    <row r="448" ht="15.75" spans="1:16">
      <c r="A448" s="280"/>
      <c r="B448" s="280"/>
      <c r="C448" s="281"/>
      <c r="D448" s="282"/>
      <c r="E448" s="280"/>
      <c r="F448" s="283"/>
      <c r="G448" s="283"/>
      <c r="H448" s="283"/>
      <c r="I448" s="283"/>
      <c r="J448" s="300"/>
      <c r="K448" s="283"/>
      <c r="L448" s="300"/>
      <c r="M448" s="283"/>
      <c r="N448" s="300"/>
      <c r="O448" s="283"/>
      <c r="P448" s="301"/>
    </row>
    <row r="449" ht="15.75" spans="1:16">
      <c r="A449" s="280"/>
      <c r="B449" s="280"/>
      <c r="C449" s="284"/>
      <c r="D449" s="288" t="s">
        <v>71</v>
      </c>
      <c r="E449" s="280"/>
      <c r="F449" s="283"/>
      <c r="G449" s="286"/>
      <c r="H449" s="286"/>
      <c r="I449" s="286"/>
      <c r="J449" s="286"/>
      <c r="K449" s="286"/>
      <c r="L449" s="286"/>
      <c r="M449" s="286"/>
      <c r="N449" s="286"/>
      <c r="O449" s="286"/>
      <c r="P449" s="302"/>
    </row>
    <row r="450" ht="15.75" spans="1:16">
      <c r="A450" s="280"/>
      <c r="B450" s="280"/>
      <c r="C450" s="284"/>
      <c r="D450" s="288" t="s">
        <v>72</v>
      </c>
      <c r="E450" s="280"/>
      <c r="F450" s="283"/>
      <c r="G450" s="286" t="s">
        <v>60</v>
      </c>
      <c r="H450" s="286">
        <v>1</v>
      </c>
      <c r="I450" s="286" t="s">
        <v>60</v>
      </c>
      <c r="J450" s="303"/>
      <c r="K450" s="286" t="s">
        <v>60</v>
      </c>
      <c r="L450" s="286"/>
      <c r="M450" s="286" t="s">
        <v>60</v>
      </c>
      <c r="N450" s="315"/>
      <c r="O450" s="286" t="s">
        <v>61</v>
      </c>
      <c r="P450" s="302">
        <f t="shared" ref="P450" si="16">PRODUCT(F450:N450)</f>
        <v>1</v>
      </c>
    </row>
    <row r="451" ht="15.75" spans="1:16">
      <c r="A451" s="280"/>
      <c r="B451" s="280"/>
      <c r="C451" s="284"/>
      <c r="D451" s="285"/>
      <c r="E451" s="280"/>
      <c r="F451" s="283"/>
      <c r="G451" s="286"/>
      <c r="H451" s="286"/>
      <c r="I451" s="286"/>
      <c r="J451" s="286"/>
      <c r="K451" s="286"/>
      <c r="L451" s="286"/>
      <c r="M451" s="286"/>
      <c r="N451" s="300"/>
      <c r="O451" s="283"/>
      <c r="P451" s="301"/>
    </row>
    <row r="452" ht="15.75" spans="1:16">
      <c r="A452" s="280"/>
      <c r="B452" s="280"/>
      <c r="C452" s="284"/>
      <c r="D452" s="285"/>
      <c r="E452" s="280"/>
      <c r="F452" s="283"/>
      <c r="G452" s="286"/>
      <c r="H452" s="286"/>
      <c r="I452" s="286"/>
      <c r="J452" s="286"/>
      <c r="K452" s="286"/>
      <c r="L452" s="286"/>
      <c r="M452" s="286"/>
      <c r="N452" s="300" t="s">
        <v>27</v>
      </c>
      <c r="O452" s="283" t="s">
        <v>61</v>
      </c>
      <c r="P452" s="301">
        <f>ROUND(SUM(P450:P450),2)</f>
        <v>1</v>
      </c>
    </row>
    <row r="453" spans="1:16">
      <c r="A453" s="324"/>
      <c r="B453" s="324"/>
      <c r="C453" s="324"/>
      <c r="D453" s="324"/>
      <c r="E453" s="324"/>
      <c r="F453" s="324"/>
      <c r="G453" s="324"/>
      <c r="H453" s="324"/>
      <c r="I453" s="324"/>
      <c r="J453" s="324"/>
      <c r="K453" s="324"/>
      <c r="L453" s="324"/>
      <c r="M453" s="324"/>
      <c r="N453" s="324"/>
      <c r="O453" s="324"/>
      <c r="P453" s="324"/>
    </row>
    <row r="454" ht="47.25" spans="1:16">
      <c r="A454" s="280" t="s">
        <v>193</v>
      </c>
      <c r="B454" s="310" t="s">
        <v>57</v>
      </c>
      <c r="C454" s="281">
        <v>89505</v>
      </c>
      <c r="D454" s="282" t="s">
        <v>194</v>
      </c>
      <c r="E454" s="280" t="s">
        <v>50</v>
      </c>
      <c r="F454" s="283"/>
      <c r="G454" s="283"/>
      <c r="H454" s="283"/>
      <c r="I454" s="283"/>
      <c r="J454" s="300"/>
      <c r="K454" s="283"/>
      <c r="L454" s="300"/>
      <c r="M454" s="283"/>
      <c r="N454" s="300"/>
      <c r="O454" s="283"/>
      <c r="P454" s="301"/>
    </row>
    <row r="455" ht="15.75" spans="1:16">
      <c r="A455" s="280"/>
      <c r="B455" s="280"/>
      <c r="C455" s="281"/>
      <c r="D455" s="282"/>
      <c r="E455" s="280"/>
      <c r="F455" s="283"/>
      <c r="G455" s="283"/>
      <c r="H455" s="283"/>
      <c r="I455" s="283"/>
      <c r="J455" s="300"/>
      <c r="K455" s="283"/>
      <c r="L455" s="300"/>
      <c r="M455" s="283"/>
      <c r="N455" s="300"/>
      <c r="O455" s="283"/>
      <c r="P455" s="301"/>
    </row>
    <row r="456" ht="15.75" spans="1:16">
      <c r="A456" s="280"/>
      <c r="B456" s="280"/>
      <c r="C456" s="284"/>
      <c r="D456" s="288" t="s">
        <v>71</v>
      </c>
      <c r="E456" s="280"/>
      <c r="F456" s="283"/>
      <c r="G456" s="286"/>
      <c r="H456" s="286"/>
      <c r="I456" s="286"/>
      <c r="J456" s="286"/>
      <c r="K456" s="286"/>
      <c r="L456" s="286"/>
      <c r="M456" s="286"/>
      <c r="N456" s="286"/>
      <c r="O456" s="286"/>
      <c r="P456" s="302"/>
    </row>
    <row r="457" ht="15.75" spans="1:16">
      <c r="A457" s="280"/>
      <c r="B457" s="280"/>
      <c r="C457" s="284"/>
      <c r="D457" s="288" t="s">
        <v>73</v>
      </c>
      <c r="E457" s="280"/>
      <c r="F457" s="283"/>
      <c r="G457" s="286" t="s">
        <v>60</v>
      </c>
      <c r="H457" s="286">
        <v>4</v>
      </c>
      <c r="I457" s="286" t="s">
        <v>60</v>
      </c>
      <c r="J457" s="303"/>
      <c r="K457" s="286" t="s">
        <v>60</v>
      </c>
      <c r="L457" s="286"/>
      <c r="M457" s="286" t="s">
        <v>60</v>
      </c>
      <c r="N457" s="315"/>
      <c r="O457" s="286" t="s">
        <v>61</v>
      </c>
      <c r="P457" s="302">
        <f t="shared" ref="P457" si="17">PRODUCT(F457:N457)</f>
        <v>4</v>
      </c>
    </row>
    <row r="458" ht="15.75" spans="1:16">
      <c r="A458" s="280"/>
      <c r="B458" s="280"/>
      <c r="C458" s="284"/>
      <c r="D458" s="285"/>
      <c r="E458" s="280"/>
      <c r="F458" s="283"/>
      <c r="G458" s="286"/>
      <c r="H458" s="286"/>
      <c r="I458" s="286"/>
      <c r="J458" s="286"/>
      <c r="K458" s="286"/>
      <c r="L458" s="286"/>
      <c r="M458" s="286"/>
      <c r="N458" s="300"/>
      <c r="O458" s="283"/>
      <c r="P458" s="301"/>
    </row>
    <row r="459" ht="15.75" spans="1:16">
      <c r="A459" s="280"/>
      <c r="B459" s="280"/>
      <c r="C459" s="284"/>
      <c r="D459" s="285"/>
      <c r="E459" s="280"/>
      <c r="F459" s="283"/>
      <c r="G459" s="286"/>
      <c r="H459" s="286"/>
      <c r="I459" s="286"/>
      <c r="J459" s="286"/>
      <c r="K459" s="286"/>
      <c r="L459" s="286"/>
      <c r="M459" s="286"/>
      <c r="N459" s="300" t="s">
        <v>27</v>
      </c>
      <c r="O459" s="283" t="s">
        <v>61</v>
      </c>
      <c r="P459" s="301">
        <f>ROUND(SUM(P457:P457),2)</f>
        <v>4</v>
      </c>
    </row>
    <row r="460" ht="15.75" spans="1:16">
      <c r="A460" s="280"/>
      <c r="B460" s="280"/>
      <c r="C460" s="284"/>
      <c r="D460" s="285"/>
      <c r="E460" s="280"/>
      <c r="F460" s="283"/>
      <c r="G460" s="286"/>
      <c r="H460" s="286"/>
      <c r="I460" s="286"/>
      <c r="J460" s="286"/>
      <c r="K460" s="286"/>
      <c r="L460" s="286"/>
      <c r="M460" s="286"/>
      <c r="N460" s="300"/>
      <c r="O460" s="283"/>
      <c r="P460" s="301"/>
    </row>
    <row r="461" ht="63" spans="1:16">
      <c r="A461" s="280" t="s">
        <v>195</v>
      </c>
      <c r="B461" s="310" t="s">
        <v>57</v>
      </c>
      <c r="C461" s="281">
        <v>103984</v>
      </c>
      <c r="D461" s="282" t="s">
        <v>196</v>
      </c>
      <c r="E461" s="280" t="s">
        <v>50</v>
      </c>
      <c r="F461" s="283"/>
      <c r="G461" s="283"/>
      <c r="H461" s="283"/>
      <c r="I461" s="283"/>
      <c r="J461" s="300"/>
      <c r="K461" s="283"/>
      <c r="L461" s="300"/>
      <c r="M461" s="283"/>
      <c r="N461" s="300"/>
      <c r="O461" s="283"/>
      <c r="P461" s="301"/>
    </row>
    <row r="462" ht="15.75" spans="1:16">
      <c r="A462" s="280"/>
      <c r="B462" s="280"/>
      <c r="C462" s="281"/>
      <c r="D462" s="282"/>
      <c r="E462" s="280"/>
      <c r="F462" s="283"/>
      <c r="G462" s="283"/>
      <c r="H462" s="283"/>
      <c r="I462" s="283"/>
      <c r="J462" s="300"/>
      <c r="K462" s="283"/>
      <c r="L462" s="300"/>
      <c r="M462" s="283"/>
      <c r="N462" s="300"/>
      <c r="O462" s="283"/>
      <c r="P462" s="301"/>
    </row>
    <row r="463" ht="15.75" spans="1:16">
      <c r="A463" s="280"/>
      <c r="B463" s="280"/>
      <c r="C463" s="284"/>
      <c r="D463" s="288" t="s">
        <v>71</v>
      </c>
      <c r="E463" s="280"/>
      <c r="F463" s="283"/>
      <c r="G463" s="286"/>
      <c r="H463" s="286"/>
      <c r="I463" s="286"/>
      <c r="J463" s="286"/>
      <c r="K463" s="286"/>
      <c r="L463" s="286"/>
      <c r="M463" s="286"/>
      <c r="N463" s="286"/>
      <c r="O463" s="286"/>
      <c r="P463" s="302"/>
    </row>
    <row r="464" ht="15.75" spans="1:16">
      <c r="A464" s="280"/>
      <c r="B464" s="280"/>
      <c r="C464" s="284"/>
      <c r="D464" s="288" t="s">
        <v>72</v>
      </c>
      <c r="E464" s="280"/>
      <c r="F464" s="283"/>
      <c r="G464" s="286" t="s">
        <v>60</v>
      </c>
      <c r="H464" s="286">
        <v>2</v>
      </c>
      <c r="I464" s="286" t="s">
        <v>60</v>
      </c>
      <c r="J464" s="303"/>
      <c r="K464" s="286" t="s">
        <v>60</v>
      </c>
      <c r="L464" s="286"/>
      <c r="M464" s="286" t="s">
        <v>60</v>
      </c>
      <c r="N464" s="315"/>
      <c r="O464" s="286" t="s">
        <v>61</v>
      </c>
      <c r="P464" s="302">
        <f>PRODUCT(F464:N464)</f>
        <v>2</v>
      </c>
    </row>
    <row r="465" ht="15.75" spans="1:16">
      <c r="A465" s="280"/>
      <c r="B465" s="280"/>
      <c r="C465" s="284"/>
      <c r="D465" s="285"/>
      <c r="E465" s="280"/>
      <c r="F465" s="283"/>
      <c r="G465" s="286"/>
      <c r="H465" s="286"/>
      <c r="I465" s="286"/>
      <c r="J465" s="286"/>
      <c r="K465" s="286"/>
      <c r="L465" s="286"/>
      <c r="M465" s="286"/>
      <c r="N465" s="300"/>
      <c r="O465" s="283"/>
      <c r="P465" s="301"/>
    </row>
    <row r="466" ht="15.75" spans="1:16">
      <c r="A466" s="280"/>
      <c r="B466" s="280"/>
      <c r="C466" s="284"/>
      <c r="D466" s="285"/>
      <c r="E466" s="280"/>
      <c r="F466" s="283"/>
      <c r="G466" s="286"/>
      <c r="H466" s="286"/>
      <c r="I466" s="286"/>
      <c r="J466" s="286"/>
      <c r="K466" s="286"/>
      <c r="L466" s="286"/>
      <c r="M466" s="286"/>
      <c r="N466" s="300" t="s">
        <v>27</v>
      </c>
      <c r="O466" s="283" t="s">
        <v>61</v>
      </c>
      <c r="P466" s="301">
        <f>ROUND(SUM(P464:P464),2)</f>
        <v>2</v>
      </c>
    </row>
    <row r="467" spans="1:16">
      <c r="A467" s="324"/>
      <c r="B467" s="324"/>
      <c r="C467" s="324"/>
      <c r="D467" s="324"/>
      <c r="E467" s="324"/>
      <c r="F467" s="324"/>
      <c r="G467" s="324"/>
      <c r="H467" s="324"/>
      <c r="I467" s="324"/>
      <c r="J467" s="324"/>
      <c r="K467" s="324"/>
      <c r="L467" s="324"/>
      <c r="M467" s="324"/>
      <c r="N467" s="324"/>
      <c r="O467" s="324"/>
      <c r="P467" s="324"/>
    </row>
    <row r="468" ht="94.5" spans="1:16">
      <c r="A468" s="280" t="s">
        <v>197</v>
      </c>
      <c r="B468" s="310" t="s">
        <v>57</v>
      </c>
      <c r="C468" s="281">
        <v>94707</v>
      </c>
      <c r="D468" s="282" t="s">
        <v>198</v>
      </c>
      <c r="E468" s="280" t="s">
        <v>50</v>
      </c>
      <c r="F468" s="283"/>
      <c r="G468" s="283"/>
      <c r="H468" s="283"/>
      <c r="I468" s="283"/>
      <c r="J468" s="300"/>
      <c r="K468" s="283"/>
      <c r="L468" s="300"/>
      <c r="M468" s="283"/>
      <c r="N468" s="300"/>
      <c r="O468" s="283"/>
      <c r="P468" s="301"/>
    </row>
    <row r="469" ht="15.75" spans="1:16">
      <c r="A469" s="280"/>
      <c r="B469" s="280"/>
      <c r="C469" s="281"/>
      <c r="D469" s="282"/>
      <c r="E469" s="280"/>
      <c r="F469" s="283"/>
      <c r="G469" s="283"/>
      <c r="H469" s="283"/>
      <c r="I469" s="283"/>
      <c r="J469" s="300"/>
      <c r="K469" s="283"/>
      <c r="L469" s="300"/>
      <c r="M469" s="283"/>
      <c r="N469" s="300"/>
      <c r="O469" s="283"/>
      <c r="P469" s="301"/>
    </row>
    <row r="470" ht="15.75" spans="1:16">
      <c r="A470" s="280"/>
      <c r="B470" s="280"/>
      <c r="C470" s="284"/>
      <c r="D470" s="288" t="s">
        <v>71</v>
      </c>
      <c r="E470" s="280"/>
      <c r="F470" s="283"/>
      <c r="G470" s="286"/>
      <c r="H470" s="286"/>
      <c r="I470" s="286"/>
      <c r="J470" s="286"/>
      <c r="K470" s="286"/>
      <c r="L470" s="286"/>
      <c r="M470" s="286"/>
      <c r="N470" s="286"/>
      <c r="O470" s="286"/>
      <c r="P470" s="302"/>
    </row>
    <row r="471" ht="15.75" spans="1:16">
      <c r="A471" s="280"/>
      <c r="B471" s="280"/>
      <c r="C471" s="284"/>
      <c r="D471" s="288" t="s">
        <v>73</v>
      </c>
      <c r="E471" s="280"/>
      <c r="F471" s="283"/>
      <c r="G471" s="286" t="s">
        <v>60</v>
      </c>
      <c r="H471" s="286">
        <v>1</v>
      </c>
      <c r="I471" s="286" t="s">
        <v>60</v>
      </c>
      <c r="J471" s="303"/>
      <c r="K471" s="286" t="s">
        <v>60</v>
      </c>
      <c r="L471" s="286"/>
      <c r="M471" s="286" t="s">
        <v>60</v>
      </c>
      <c r="N471" s="315"/>
      <c r="O471" s="286" t="s">
        <v>61</v>
      </c>
      <c r="P471" s="302">
        <f>PRODUCT(F471:N471)</f>
        <v>1</v>
      </c>
    </row>
    <row r="472" ht="15.75" spans="1:16">
      <c r="A472" s="280"/>
      <c r="B472" s="280"/>
      <c r="C472" s="284"/>
      <c r="D472" s="285"/>
      <c r="E472" s="280"/>
      <c r="F472" s="283"/>
      <c r="G472" s="286"/>
      <c r="H472" s="286"/>
      <c r="I472" s="286"/>
      <c r="J472" s="286"/>
      <c r="K472" s="286"/>
      <c r="L472" s="286"/>
      <c r="M472" s="286"/>
      <c r="N472" s="300"/>
      <c r="O472" s="283"/>
      <c r="P472" s="301"/>
    </row>
    <row r="473" ht="15.75" spans="1:16">
      <c r="A473" s="280"/>
      <c r="B473" s="280"/>
      <c r="C473" s="284"/>
      <c r="D473" s="285"/>
      <c r="E473" s="280"/>
      <c r="F473" s="283"/>
      <c r="G473" s="286"/>
      <c r="H473" s="286"/>
      <c r="I473" s="286"/>
      <c r="J473" s="286"/>
      <c r="K473" s="286"/>
      <c r="L473" s="286"/>
      <c r="M473" s="286"/>
      <c r="N473" s="300" t="s">
        <v>27</v>
      </c>
      <c r="O473" s="283" t="s">
        <v>61</v>
      </c>
      <c r="P473" s="301">
        <f>ROUND(SUM(P471:P471),2)</f>
        <v>1</v>
      </c>
    </row>
    <row r="474" spans="1:16">
      <c r="A474" s="324"/>
      <c r="B474" s="324"/>
      <c r="C474" s="324"/>
      <c r="D474" s="324"/>
      <c r="E474" s="324"/>
      <c r="F474" s="324"/>
      <c r="G474" s="324"/>
      <c r="H474" s="324"/>
      <c r="I474" s="324"/>
      <c r="J474" s="324"/>
      <c r="K474" s="324"/>
      <c r="L474" s="324"/>
      <c r="M474" s="324"/>
      <c r="N474" s="324"/>
      <c r="O474" s="324"/>
      <c r="P474" s="324"/>
    </row>
    <row r="475" ht="94.5" spans="1:16">
      <c r="A475" s="280" t="s">
        <v>199</v>
      </c>
      <c r="B475" s="310" t="s">
        <v>57</v>
      </c>
      <c r="C475" s="281">
        <v>94706</v>
      </c>
      <c r="D475" s="282" t="s">
        <v>200</v>
      </c>
      <c r="E475" s="280" t="s">
        <v>50</v>
      </c>
      <c r="F475" s="283"/>
      <c r="G475" s="283"/>
      <c r="H475" s="283"/>
      <c r="I475" s="283"/>
      <c r="J475" s="300"/>
      <c r="K475" s="283"/>
      <c r="L475" s="300"/>
      <c r="M475" s="283"/>
      <c r="N475" s="300"/>
      <c r="O475" s="283"/>
      <c r="P475" s="301"/>
    </row>
    <row r="476" ht="15.75" spans="1:16">
      <c r="A476" s="280"/>
      <c r="B476" s="280"/>
      <c r="C476" s="281"/>
      <c r="D476" s="282"/>
      <c r="E476" s="280"/>
      <c r="F476" s="283"/>
      <c r="G476" s="283"/>
      <c r="H476" s="283"/>
      <c r="I476" s="283"/>
      <c r="J476" s="300"/>
      <c r="K476" s="283"/>
      <c r="L476" s="300"/>
      <c r="M476" s="283"/>
      <c r="N476" s="300"/>
      <c r="O476" s="283"/>
      <c r="P476" s="301"/>
    </row>
    <row r="477" ht="15.75" spans="1:16">
      <c r="A477" s="280"/>
      <c r="B477" s="280"/>
      <c r="C477" s="284"/>
      <c r="D477" s="288" t="s">
        <v>71</v>
      </c>
      <c r="E477" s="280"/>
      <c r="F477" s="283"/>
      <c r="G477" s="286"/>
      <c r="H477" s="286"/>
      <c r="I477" s="286"/>
      <c r="J477" s="286"/>
      <c r="K477" s="286"/>
      <c r="L477" s="286"/>
      <c r="M477" s="286"/>
      <c r="N477" s="286"/>
      <c r="O477" s="286"/>
      <c r="P477" s="302"/>
    </row>
    <row r="478" ht="15.75" spans="1:16">
      <c r="A478" s="280"/>
      <c r="B478" s="280"/>
      <c r="C478" s="284"/>
      <c r="D478" s="288" t="s">
        <v>72</v>
      </c>
      <c r="E478" s="280"/>
      <c r="F478" s="283"/>
      <c r="G478" s="286" t="s">
        <v>60</v>
      </c>
      <c r="H478" s="286">
        <v>1</v>
      </c>
      <c r="I478" s="286" t="s">
        <v>60</v>
      </c>
      <c r="J478" s="303"/>
      <c r="K478" s="286" t="s">
        <v>60</v>
      </c>
      <c r="L478" s="286"/>
      <c r="M478" s="286" t="s">
        <v>60</v>
      </c>
      <c r="N478" s="315"/>
      <c r="O478" s="286" t="s">
        <v>61</v>
      </c>
      <c r="P478" s="302">
        <f>PRODUCT(F478:N478)</f>
        <v>1</v>
      </c>
    </row>
    <row r="479" ht="15.75" spans="1:16">
      <c r="A479" s="280"/>
      <c r="B479" s="280"/>
      <c r="C479" s="284"/>
      <c r="D479" s="285"/>
      <c r="E479" s="280"/>
      <c r="F479" s="283"/>
      <c r="G479" s="286"/>
      <c r="H479" s="286"/>
      <c r="I479" s="286"/>
      <c r="J479" s="286"/>
      <c r="K479" s="286"/>
      <c r="L479" s="286"/>
      <c r="M479" s="286"/>
      <c r="N479" s="300"/>
      <c r="O479" s="283"/>
      <c r="P479" s="301"/>
    </row>
    <row r="480" ht="15.75" spans="1:16">
      <c r="A480" s="280"/>
      <c r="B480" s="280"/>
      <c r="C480" s="284"/>
      <c r="D480" s="285"/>
      <c r="E480" s="280"/>
      <c r="F480" s="283"/>
      <c r="G480" s="286"/>
      <c r="H480" s="286"/>
      <c r="I480" s="286"/>
      <c r="J480" s="286"/>
      <c r="K480" s="286"/>
      <c r="L480" s="286"/>
      <c r="M480" s="286"/>
      <c r="N480" s="300" t="s">
        <v>27</v>
      </c>
      <c r="O480" s="283" t="s">
        <v>61</v>
      </c>
      <c r="P480" s="301">
        <f>ROUND(SUM(P478:P478),2)</f>
        <v>1</v>
      </c>
    </row>
    <row r="481" spans="1:16">
      <c r="A481" s="324"/>
      <c r="B481" s="324"/>
      <c r="C481" s="324"/>
      <c r="D481" s="324"/>
      <c r="E481" s="324"/>
      <c r="F481" s="324"/>
      <c r="G481" s="324"/>
      <c r="H481" s="324"/>
      <c r="I481" s="324"/>
      <c r="J481" s="324"/>
      <c r="K481" s="324"/>
      <c r="L481" s="324"/>
      <c r="M481" s="324"/>
      <c r="N481" s="324"/>
      <c r="O481" s="324"/>
      <c r="P481" s="324"/>
    </row>
    <row r="482" spans="1:16">
      <c r="A482" s="324"/>
      <c r="B482" s="324"/>
      <c r="C482" s="324"/>
      <c r="D482" s="324"/>
      <c r="E482" s="324"/>
      <c r="F482" s="324"/>
      <c r="G482" s="324"/>
      <c r="H482" s="324"/>
      <c r="I482" s="324"/>
      <c r="J482" s="324"/>
      <c r="K482" s="324"/>
      <c r="L482" s="324"/>
      <c r="M482" s="324"/>
      <c r="N482" s="324"/>
      <c r="O482" s="324"/>
      <c r="P482" s="324"/>
    </row>
    <row r="483" spans="1:16">
      <c r="A483" s="324"/>
      <c r="B483" s="324"/>
      <c r="C483" s="324"/>
      <c r="D483" s="324"/>
      <c r="E483" s="324"/>
      <c r="F483" s="324"/>
      <c r="G483" s="324"/>
      <c r="H483" s="324"/>
      <c r="I483" s="324"/>
      <c r="J483" s="324"/>
      <c r="K483" s="324"/>
      <c r="L483" s="324"/>
      <c r="M483" s="324"/>
      <c r="N483" s="324"/>
      <c r="O483" s="324"/>
      <c r="P483" s="324"/>
    </row>
    <row r="484" s="252" customFormat="1" ht="15.75" spans="1:16">
      <c r="A484" s="326"/>
      <c r="B484" s="327" t="s">
        <v>201</v>
      </c>
      <c r="C484" s="327"/>
      <c r="D484" s="327"/>
      <c r="E484" s="328"/>
      <c r="F484" s="328"/>
      <c r="G484" s="328"/>
      <c r="H484" s="328"/>
      <c r="I484" s="328"/>
      <c r="J484" s="328"/>
      <c r="K484" s="328"/>
      <c r="L484" s="328"/>
      <c r="M484" s="328"/>
      <c r="N484" s="328"/>
      <c r="O484" s="328"/>
      <c r="P484" s="328"/>
    </row>
    <row r="485" spans="1:16">
      <c r="A485" s="324"/>
      <c r="B485" s="324"/>
      <c r="C485" s="324"/>
      <c r="D485" s="324"/>
      <c r="E485" s="324"/>
      <c r="F485" s="324"/>
      <c r="G485" s="324"/>
      <c r="H485" s="324"/>
      <c r="I485" s="324"/>
      <c r="J485" s="324"/>
      <c r="K485" s="324"/>
      <c r="L485" s="324"/>
      <c r="M485" s="324"/>
      <c r="N485" s="324"/>
      <c r="O485" s="324"/>
      <c r="P485" s="324"/>
    </row>
    <row r="486" ht="78.75" spans="1:16">
      <c r="A486" s="280" t="s">
        <v>202</v>
      </c>
      <c r="B486" s="310" t="s">
        <v>57</v>
      </c>
      <c r="C486" s="281">
        <v>92337</v>
      </c>
      <c r="D486" s="282" t="s">
        <v>203</v>
      </c>
      <c r="E486" s="280" t="s">
        <v>70</v>
      </c>
      <c r="F486" s="283"/>
      <c r="G486" s="283"/>
      <c r="H486" s="283"/>
      <c r="I486" s="283"/>
      <c r="J486" s="300"/>
      <c r="K486" s="283"/>
      <c r="L486" s="300"/>
      <c r="M486" s="283"/>
      <c r="N486" s="300"/>
      <c r="O486" s="283"/>
      <c r="P486" s="301"/>
    </row>
    <row r="487" ht="15.75" spans="1:16">
      <c r="A487" s="280"/>
      <c r="B487" s="280"/>
      <c r="C487" s="281"/>
      <c r="D487" s="282"/>
      <c r="E487" s="280"/>
      <c r="F487" s="283"/>
      <c r="G487" s="283"/>
      <c r="H487" s="283"/>
      <c r="I487" s="283"/>
      <c r="J487" s="300"/>
      <c r="K487" s="283"/>
      <c r="L487" s="300"/>
      <c r="M487" s="283"/>
      <c r="N487" s="300"/>
      <c r="O487" s="283"/>
      <c r="P487" s="301"/>
    </row>
    <row r="488" ht="15.75" spans="1:16">
      <c r="A488" s="280"/>
      <c r="B488" s="280"/>
      <c r="C488" s="284"/>
      <c r="D488" s="288" t="s">
        <v>74</v>
      </c>
      <c r="E488" s="280"/>
      <c r="F488" s="283">
        <v>25</v>
      </c>
      <c r="G488" s="286" t="s">
        <v>60</v>
      </c>
      <c r="H488" s="286">
        <v>1</v>
      </c>
      <c r="I488" s="286" t="s">
        <v>60</v>
      </c>
      <c r="J488" s="303"/>
      <c r="K488" s="286" t="s">
        <v>60</v>
      </c>
      <c r="L488" s="286"/>
      <c r="M488" s="286" t="s">
        <v>60</v>
      </c>
      <c r="N488" s="315"/>
      <c r="O488" s="286" t="s">
        <v>61</v>
      </c>
      <c r="P488" s="302">
        <f t="shared" ref="P488:P489" si="18">PRODUCT(F488:N488)</f>
        <v>25</v>
      </c>
    </row>
    <row r="489" ht="15.75" spans="1:16">
      <c r="A489" s="280"/>
      <c r="B489" s="280"/>
      <c r="C489" s="284"/>
      <c r="D489" s="288" t="s">
        <v>75</v>
      </c>
      <c r="E489" s="280"/>
      <c r="F489" s="283">
        <v>25</v>
      </c>
      <c r="G489" s="286" t="s">
        <v>60</v>
      </c>
      <c r="H489" s="286">
        <v>1</v>
      </c>
      <c r="I489" s="286" t="s">
        <v>60</v>
      </c>
      <c r="J489" s="303"/>
      <c r="K489" s="286" t="s">
        <v>60</v>
      </c>
      <c r="L489" s="286"/>
      <c r="M489" s="286" t="s">
        <v>60</v>
      </c>
      <c r="N489" s="315"/>
      <c r="O489" s="286" t="s">
        <v>61</v>
      </c>
      <c r="P489" s="302">
        <f t="shared" si="18"/>
        <v>25</v>
      </c>
    </row>
    <row r="490" ht="15.75" spans="1:16">
      <c r="A490" s="280"/>
      <c r="B490" s="280"/>
      <c r="C490" s="284"/>
      <c r="D490" s="285"/>
      <c r="E490" s="280"/>
      <c r="F490" s="283"/>
      <c r="G490" s="286"/>
      <c r="H490" s="286"/>
      <c r="I490" s="286"/>
      <c r="J490" s="286"/>
      <c r="K490" s="286"/>
      <c r="L490" s="286"/>
      <c r="M490" s="286"/>
      <c r="N490" s="300"/>
      <c r="O490" s="283"/>
      <c r="P490" s="301"/>
    </row>
    <row r="491" ht="15.75" spans="1:16">
      <c r="A491" s="280"/>
      <c r="B491" s="280"/>
      <c r="C491" s="284"/>
      <c r="D491" s="285"/>
      <c r="E491" s="280"/>
      <c r="F491" s="283"/>
      <c r="G491" s="286"/>
      <c r="H491" s="286"/>
      <c r="I491" s="286"/>
      <c r="J491" s="286"/>
      <c r="K491" s="286"/>
      <c r="L491" s="286"/>
      <c r="M491" s="286"/>
      <c r="N491" s="300" t="s">
        <v>27</v>
      </c>
      <c r="O491" s="283" t="s">
        <v>61</v>
      </c>
      <c r="P491" s="301">
        <f>ROUND(SUM(P488:P489),2)</f>
        <v>50</v>
      </c>
    </row>
    <row r="492" spans="1:16">
      <c r="A492" s="324"/>
      <c r="B492" s="324"/>
      <c r="C492" s="324"/>
      <c r="D492" s="324"/>
      <c r="E492" s="324"/>
      <c r="F492" s="324"/>
      <c r="G492" s="324"/>
      <c r="H492" s="324"/>
      <c r="I492" s="324"/>
      <c r="J492" s="324"/>
      <c r="K492" s="324"/>
      <c r="L492" s="324"/>
      <c r="M492" s="324"/>
      <c r="N492" s="324"/>
      <c r="O492" s="324"/>
      <c r="P492" s="324"/>
    </row>
    <row r="493" ht="63" spans="1:16">
      <c r="A493" s="280" t="s">
        <v>204</v>
      </c>
      <c r="B493" s="310" t="s">
        <v>57</v>
      </c>
      <c r="C493" s="281">
        <v>101929</v>
      </c>
      <c r="D493" s="282" t="s">
        <v>205</v>
      </c>
      <c r="E493" s="280" t="s">
        <v>50</v>
      </c>
      <c r="F493" s="283"/>
      <c r="G493" s="283"/>
      <c r="H493" s="283"/>
      <c r="I493" s="283"/>
      <c r="J493" s="300"/>
      <c r="K493" s="283"/>
      <c r="L493" s="300"/>
      <c r="M493" s="283"/>
      <c r="N493" s="300"/>
      <c r="O493" s="283"/>
      <c r="P493" s="301"/>
    </row>
    <row r="494" ht="15.75" spans="1:16">
      <c r="A494" s="280"/>
      <c r="B494" s="280"/>
      <c r="C494" s="281"/>
      <c r="D494" s="282"/>
      <c r="E494" s="280"/>
      <c r="F494" s="283"/>
      <c r="G494" s="283"/>
      <c r="H494" s="283"/>
      <c r="I494" s="283"/>
      <c r="J494" s="300"/>
      <c r="K494" s="283"/>
      <c r="L494" s="300"/>
      <c r="M494" s="283"/>
      <c r="N494" s="300"/>
      <c r="O494" s="283"/>
      <c r="P494" s="301"/>
    </row>
    <row r="495" ht="15.75" spans="1:16">
      <c r="A495" s="280"/>
      <c r="B495" s="280"/>
      <c r="C495" s="284"/>
      <c r="D495" s="288" t="s">
        <v>74</v>
      </c>
      <c r="E495" s="280"/>
      <c r="F495" s="283">
        <v>25</v>
      </c>
      <c r="G495" s="286" t="s">
        <v>60</v>
      </c>
      <c r="H495" s="286">
        <v>1</v>
      </c>
      <c r="I495" s="286" t="s">
        <v>60</v>
      </c>
      <c r="J495" s="303"/>
      <c r="K495" s="286" t="s">
        <v>60</v>
      </c>
      <c r="L495" s="286"/>
      <c r="M495" s="286" t="s">
        <v>60</v>
      </c>
      <c r="N495" s="315">
        <f>1/3</f>
        <v>0.333333333333333</v>
      </c>
      <c r="O495" s="286" t="s">
        <v>61</v>
      </c>
      <c r="P495" s="302">
        <f>ROUNDUP(PRODUCT(F495:N495),0)</f>
        <v>9</v>
      </c>
    </row>
    <row r="496" ht="15.75" spans="1:16">
      <c r="A496" s="280"/>
      <c r="B496" s="280"/>
      <c r="C496" s="284"/>
      <c r="D496" s="288" t="s">
        <v>75</v>
      </c>
      <c r="E496" s="280"/>
      <c r="F496" s="283">
        <v>25</v>
      </c>
      <c r="G496" s="286" t="s">
        <v>60</v>
      </c>
      <c r="H496" s="286">
        <v>1</v>
      </c>
      <c r="I496" s="286" t="s">
        <v>60</v>
      </c>
      <c r="J496" s="303"/>
      <c r="K496" s="286" t="s">
        <v>60</v>
      </c>
      <c r="L496" s="286"/>
      <c r="M496" s="286" t="s">
        <v>60</v>
      </c>
      <c r="N496" s="315">
        <f>1/3</f>
        <v>0.333333333333333</v>
      </c>
      <c r="O496" s="286" t="s">
        <v>61</v>
      </c>
      <c r="P496" s="302">
        <f>ROUNDUP(PRODUCT(F496:N496),0)</f>
        <v>9</v>
      </c>
    </row>
    <row r="497" ht="15.75" spans="1:16">
      <c r="A497" s="280"/>
      <c r="B497" s="280"/>
      <c r="C497" s="284"/>
      <c r="D497" s="285"/>
      <c r="E497" s="280"/>
      <c r="F497" s="283"/>
      <c r="G497" s="286"/>
      <c r="H497" s="286"/>
      <c r="I497" s="286"/>
      <c r="J497" s="286"/>
      <c r="K497" s="286"/>
      <c r="L497" s="286"/>
      <c r="M497" s="286"/>
      <c r="N497" s="300"/>
      <c r="O497" s="283"/>
      <c r="P497" s="301"/>
    </row>
    <row r="498" ht="15.75" spans="1:16">
      <c r="A498" s="280"/>
      <c r="B498" s="280"/>
      <c r="C498" s="284"/>
      <c r="D498" s="285"/>
      <c r="E498" s="280"/>
      <c r="F498" s="283"/>
      <c r="G498" s="286"/>
      <c r="H498" s="286"/>
      <c r="I498" s="286"/>
      <c r="J498" s="286"/>
      <c r="K498" s="286"/>
      <c r="L498" s="286"/>
      <c r="M498" s="286"/>
      <c r="N498" s="300" t="s">
        <v>27</v>
      </c>
      <c r="O498" s="283" t="s">
        <v>61</v>
      </c>
      <c r="P498" s="301">
        <f>ROUND(SUM(P496:P496),2)</f>
        <v>9</v>
      </c>
    </row>
    <row r="499" spans="1:16">
      <c r="A499" s="324"/>
      <c r="B499" s="324"/>
      <c r="C499" s="324"/>
      <c r="D499" s="324"/>
      <c r="E499" s="324"/>
      <c r="F499" s="324"/>
      <c r="G499" s="324"/>
      <c r="H499" s="324"/>
      <c r="I499" s="324"/>
      <c r="J499" s="324"/>
      <c r="K499" s="324"/>
      <c r="L499" s="324"/>
      <c r="M499" s="324"/>
      <c r="N499" s="324"/>
      <c r="O499" s="324"/>
      <c r="P499" s="324"/>
    </row>
    <row r="500" ht="63" spans="1:16">
      <c r="A500" s="280" t="s">
        <v>206</v>
      </c>
      <c r="B500" s="310" t="s">
        <v>57</v>
      </c>
      <c r="C500" s="281">
        <v>97438</v>
      </c>
      <c r="D500" s="282" t="s">
        <v>207</v>
      </c>
      <c r="E500" s="280" t="s">
        <v>50</v>
      </c>
      <c r="F500" s="283"/>
      <c r="G500" s="283"/>
      <c r="H500" s="283"/>
      <c r="I500" s="283"/>
      <c r="J500" s="300"/>
      <c r="K500" s="283"/>
      <c r="L500" s="300"/>
      <c r="M500" s="283"/>
      <c r="N500" s="300"/>
      <c r="O500" s="283"/>
      <c r="P500" s="301"/>
    </row>
    <row r="501" ht="15.75" spans="1:16">
      <c r="A501" s="280"/>
      <c r="B501" s="280"/>
      <c r="C501" s="281"/>
      <c r="D501" s="282"/>
      <c r="E501" s="280"/>
      <c r="F501" s="283"/>
      <c r="G501" s="283"/>
      <c r="H501" s="283"/>
      <c r="I501" s="283"/>
      <c r="J501" s="300"/>
      <c r="K501" s="283"/>
      <c r="L501" s="300"/>
      <c r="M501" s="283"/>
      <c r="N501" s="300"/>
      <c r="O501" s="283"/>
      <c r="P501" s="301"/>
    </row>
    <row r="502" ht="15.75" spans="1:16">
      <c r="A502" s="280"/>
      <c r="B502" s="280"/>
      <c r="C502" s="284"/>
      <c r="D502" s="288" t="s">
        <v>74</v>
      </c>
      <c r="E502" s="280"/>
      <c r="F502" s="283"/>
      <c r="G502" s="286" t="s">
        <v>60</v>
      </c>
      <c r="H502" s="286"/>
      <c r="I502" s="286" t="s">
        <v>60</v>
      </c>
      <c r="J502" s="303"/>
      <c r="K502" s="286" t="s">
        <v>60</v>
      </c>
      <c r="L502" s="286"/>
      <c r="M502" s="286" t="s">
        <v>60</v>
      </c>
      <c r="N502" s="329">
        <v>3</v>
      </c>
      <c r="O502" s="286" t="s">
        <v>61</v>
      </c>
      <c r="P502" s="302">
        <f>ROUNDUP(PRODUCT(F502:N502),0)</f>
        <v>3</v>
      </c>
    </row>
    <row r="503" ht="15.75" spans="1:16">
      <c r="A503" s="280"/>
      <c r="B503" s="280"/>
      <c r="C503" s="284"/>
      <c r="D503" s="288" t="s">
        <v>75</v>
      </c>
      <c r="E503" s="280"/>
      <c r="F503" s="283"/>
      <c r="G503" s="286" t="s">
        <v>60</v>
      </c>
      <c r="H503" s="286"/>
      <c r="I503" s="286" t="s">
        <v>60</v>
      </c>
      <c r="J503" s="303"/>
      <c r="K503" s="286" t="s">
        <v>60</v>
      </c>
      <c r="L503" s="286"/>
      <c r="M503" s="286" t="s">
        <v>60</v>
      </c>
      <c r="N503" s="329">
        <v>3</v>
      </c>
      <c r="O503" s="286" t="s">
        <v>61</v>
      </c>
      <c r="P503" s="302">
        <f>ROUNDUP(PRODUCT(F503:N503),0)</f>
        <v>3</v>
      </c>
    </row>
    <row r="504" ht="15.75" spans="1:16">
      <c r="A504" s="280"/>
      <c r="B504" s="280"/>
      <c r="C504" s="284"/>
      <c r="D504" s="285"/>
      <c r="E504" s="280"/>
      <c r="F504" s="283"/>
      <c r="G504" s="286"/>
      <c r="H504" s="286"/>
      <c r="I504" s="286"/>
      <c r="J504" s="286"/>
      <c r="K504" s="286"/>
      <c r="L504" s="286"/>
      <c r="M504" s="286"/>
      <c r="N504" s="300"/>
      <c r="O504" s="283"/>
      <c r="P504" s="301"/>
    </row>
    <row r="505" ht="15.75" spans="1:16">
      <c r="A505" s="280"/>
      <c r="B505" s="280"/>
      <c r="C505" s="284"/>
      <c r="D505" s="285"/>
      <c r="E505" s="280"/>
      <c r="F505" s="283"/>
      <c r="G505" s="286"/>
      <c r="H505" s="286"/>
      <c r="I505" s="286"/>
      <c r="J505" s="286"/>
      <c r="K505" s="286"/>
      <c r="L505" s="286"/>
      <c r="M505" s="286"/>
      <c r="N505" s="300" t="s">
        <v>27</v>
      </c>
      <c r="O505" s="283" t="s">
        <v>61</v>
      </c>
      <c r="P505" s="301">
        <f>ROUND(SUM(P503:P503),2)</f>
        <v>3</v>
      </c>
    </row>
    <row r="506" spans="1:16">
      <c r="A506" s="324"/>
      <c r="B506" s="324"/>
      <c r="C506" s="324"/>
      <c r="D506" s="324"/>
      <c r="E506" s="324"/>
      <c r="F506" s="324"/>
      <c r="G506" s="324"/>
      <c r="H506" s="324"/>
      <c r="I506" s="324"/>
      <c r="J506" s="324"/>
      <c r="K506" s="324"/>
      <c r="L506" s="324"/>
      <c r="M506" s="324"/>
      <c r="N506" s="324"/>
      <c r="O506" s="324"/>
      <c r="P506" s="324"/>
    </row>
    <row r="507" ht="47.25" spans="1:16">
      <c r="A507" s="280" t="s">
        <v>208</v>
      </c>
      <c r="B507" s="310" t="s">
        <v>57</v>
      </c>
      <c r="C507" s="281">
        <v>97442</v>
      </c>
      <c r="D507" s="282" t="s">
        <v>209</v>
      </c>
      <c r="E507" s="280" t="s">
        <v>50</v>
      </c>
      <c r="F507" s="283"/>
      <c r="G507" s="283"/>
      <c r="H507" s="283"/>
      <c r="I507" s="283"/>
      <c r="J507" s="300"/>
      <c r="K507" s="283"/>
      <c r="L507" s="300"/>
      <c r="M507" s="283"/>
      <c r="N507" s="300"/>
      <c r="O507" s="283"/>
      <c r="P507" s="301"/>
    </row>
    <row r="508" ht="17.4" customHeight="1" spans="1:16">
      <c r="A508" s="280"/>
      <c r="B508" s="280"/>
      <c r="C508" s="281"/>
      <c r="D508" s="282"/>
      <c r="E508" s="280"/>
      <c r="F508" s="283"/>
      <c r="G508" s="283"/>
      <c r="H508" s="283"/>
      <c r="I508" s="283"/>
      <c r="J508" s="300"/>
      <c r="K508" s="283"/>
      <c r="L508" s="300"/>
      <c r="M508" s="283"/>
      <c r="N508" s="300"/>
      <c r="O508" s="283"/>
      <c r="P508" s="301"/>
    </row>
    <row r="509" ht="15.75" spans="1:16">
      <c r="A509" s="280"/>
      <c r="B509" s="280"/>
      <c r="C509" s="284"/>
      <c r="D509" s="288" t="s">
        <v>75</v>
      </c>
      <c r="E509" s="280"/>
      <c r="F509" s="283"/>
      <c r="G509" s="286" t="s">
        <v>60</v>
      </c>
      <c r="H509" s="286"/>
      <c r="I509" s="286" t="s">
        <v>60</v>
      </c>
      <c r="J509" s="303"/>
      <c r="K509" s="286" t="s">
        <v>60</v>
      </c>
      <c r="L509" s="286"/>
      <c r="M509" s="286" t="s">
        <v>60</v>
      </c>
      <c r="N509" s="329">
        <v>2</v>
      </c>
      <c r="O509" s="286" t="s">
        <v>61</v>
      </c>
      <c r="P509" s="302">
        <f>ROUNDUP(PRODUCT(F509:N509),0)</f>
        <v>2</v>
      </c>
    </row>
    <row r="510" ht="15.75" spans="1:16">
      <c r="A510" s="280"/>
      <c r="B510" s="280"/>
      <c r="C510" s="284"/>
      <c r="D510" s="285"/>
      <c r="E510" s="280"/>
      <c r="F510" s="283"/>
      <c r="G510" s="286"/>
      <c r="H510" s="286"/>
      <c r="I510" s="286"/>
      <c r="J510" s="286"/>
      <c r="K510" s="286"/>
      <c r="L510" s="286"/>
      <c r="M510" s="286"/>
      <c r="N510" s="300"/>
      <c r="O510" s="283"/>
      <c r="P510" s="301"/>
    </row>
    <row r="511" ht="15.75" spans="1:16">
      <c r="A511" s="280"/>
      <c r="B511" s="280"/>
      <c r="C511" s="284"/>
      <c r="D511" s="285"/>
      <c r="E511" s="280"/>
      <c r="F511" s="283"/>
      <c r="G511" s="286"/>
      <c r="H511" s="286"/>
      <c r="I511" s="286"/>
      <c r="J511" s="286"/>
      <c r="K511" s="286"/>
      <c r="L511" s="286"/>
      <c r="M511" s="286"/>
      <c r="N511" s="300" t="s">
        <v>27</v>
      </c>
      <c r="O511" s="283" t="s">
        <v>61</v>
      </c>
      <c r="P511" s="301">
        <f>ROUND(SUM(P509:P509),2)</f>
        <v>2</v>
      </c>
    </row>
  </sheetData>
  <mergeCells count="18">
    <mergeCell ref="A3:P3"/>
    <mergeCell ref="A4:P4"/>
    <mergeCell ref="A5:P5"/>
    <mergeCell ref="A6:B6"/>
    <mergeCell ref="C6:P6"/>
    <mergeCell ref="A7:B7"/>
    <mergeCell ref="C7:P7"/>
    <mergeCell ref="A8:B8"/>
    <mergeCell ref="C8:P8"/>
    <mergeCell ref="E222:P222"/>
    <mergeCell ref="E295:P295"/>
    <mergeCell ref="E319:P319"/>
    <mergeCell ref="E341:P341"/>
    <mergeCell ref="E349:P349"/>
    <mergeCell ref="E395:P395"/>
    <mergeCell ref="E409:P409"/>
    <mergeCell ref="E484:P484"/>
    <mergeCell ref="A1:P2"/>
  </mergeCells>
  <printOptions horizontalCentered="1"/>
  <pageMargins left="0.251388888888889" right="0.251388888888889" top="0.751388888888889" bottom="0.751388888888889" header="0.298611111111111" footer="0.298611111111111"/>
  <pageSetup paperSize="9" scale="41" orientation="portrait" horizontalDpi="600"/>
  <headerFooter/>
  <rowBreaks count="7" manualBreakCount="7">
    <brk id="81" max="16383" man="1"/>
    <brk id="154" max="16383" man="1"/>
    <brk id="221" max="16383" man="1"/>
    <brk id="255" max="16383" man="1"/>
    <brk id="307" max="16383" man="1"/>
    <brk id="378" max="16383" man="1"/>
    <brk id="446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P65"/>
  <sheetViews>
    <sheetView tabSelected="1" view="pageBreakPreview" zoomScale="65" zoomScaleNormal="57" topLeftCell="D6" workbookViewId="0">
      <selection activeCell="O18" sqref="O18"/>
    </sheetView>
  </sheetViews>
  <sheetFormatPr defaultColWidth="11.3333333333333" defaultRowHeight="15"/>
  <cols>
    <col min="1" max="1" width="1.22222222222222" style="190" customWidth="1"/>
    <col min="2" max="2" width="17.4444444444444" style="190" customWidth="1"/>
    <col min="3" max="3" width="22.1333333333333" style="190" customWidth="1"/>
    <col min="4" max="4" width="15.7777777777778" style="190" customWidth="1"/>
    <col min="5" max="5" width="107.111111111111" style="190" customWidth="1"/>
    <col min="6" max="6" width="8.98888888888889" style="190" customWidth="1"/>
    <col min="7" max="7" width="15.7888888888889" style="191" customWidth="1"/>
    <col min="8" max="8" width="21.7" style="192" customWidth="1"/>
    <col min="9" max="9" width="23.0222222222222" style="192" customWidth="1"/>
    <col min="10" max="10" width="22.8" style="192" customWidth="1"/>
    <col min="11" max="11" width="27.1111111111111" style="190" customWidth="1"/>
    <col min="12" max="14" width="11.3333333333333" style="190"/>
    <col min="15" max="15" width="31.8666666666667" style="190" customWidth="1"/>
    <col min="16" max="16" width="26.6" style="190" customWidth="1"/>
    <col min="17" max="250" width="11.3333333333333" style="190"/>
    <col min="251" max="251" width="10.1111111111111" style="190" customWidth="1"/>
    <col min="252" max="252" width="25.3333333333333" style="190" customWidth="1"/>
    <col min="253" max="253" width="39.6666666666667" style="190" customWidth="1"/>
    <col min="254" max="254" width="107.111111111111" style="190" customWidth="1"/>
    <col min="255" max="255" width="11.4444444444444" style="190" customWidth="1"/>
    <col min="256" max="256" width="17" style="190" customWidth="1"/>
    <col min="257" max="257" width="16.3333333333333" style="190" customWidth="1"/>
    <col min="258" max="258" width="16.4444444444444" style="190" customWidth="1"/>
    <col min="259" max="259" width="29" style="190" customWidth="1"/>
    <col min="260" max="260" width="20.3333333333333" style="190" customWidth="1"/>
    <col min="261" max="261" width="16.4444444444444" style="190" customWidth="1"/>
    <col min="262" max="262" width="13.3333333333333" style="190" customWidth="1"/>
    <col min="263" max="263" width="26.7777777777778" style="190" customWidth="1"/>
    <col min="264" max="264" width="14.1111111111111" style="190" customWidth="1"/>
    <col min="265" max="265" width="14.6666666666667" style="190" customWidth="1"/>
    <col min="266" max="506" width="11.3333333333333" style="190"/>
    <col min="507" max="507" width="10.1111111111111" style="190" customWidth="1"/>
    <col min="508" max="508" width="25.3333333333333" style="190" customWidth="1"/>
    <col min="509" max="509" width="39.6666666666667" style="190" customWidth="1"/>
    <col min="510" max="510" width="107.111111111111" style="190" customWidth="1"/>
    <col min="511" max="511" width="11.4444444444444" style="190" customWidth="1"/>
    <col min="512" max="512" width="17" style="190" customWidth="1"/>
    <col min="513" max="513" width="16.3333333333333" style="190" customWidth="1"/>
    <col min="514" max="514" width="16.4444444444444" style="190" customWidth="1"/>
    <col min="515" max="515" width="29" style="190" customWidth="1"/>
    <col min="516" max="516" width="20.3333333333333" style="190" customWidth="1"/>
    <col min="517" max="517" width="16.4444444444444" style="190" customWidth="1"/>
    <col min="518" max="518" width="13.3333333333333" style="190" customWidth="1"/>
    <col min="519" max="519" width="26.7777777777778" style="190" customWidth="1"/>
    <col min="520" max="520" width="14.1111111111111" style="190" customWidth="1"/>
    <col min="521" max="521" width="14.6666666666667" style="190" customWidth="1"/>
    <col min="522" max="762" width="11.3333333333333" style="190"/>
    <col min="763" max="763" width="10.1111111111111" style="190" customWidth="1"/>
    <col min="764" max="764" width="25.3333333333333" style="190" customWidth="1"/>
    <col min="765" max="765" width="39.6666666666667" style="190" customWidth="1"/>
    <col min="766" max="766" width="107.111111111111" style="190" customWidth="1"/>
    <col min="767" max="767" width="11.4444444444444" style="190" customWidth="1"/>
    <col min="768" max="768" width="17" style="190" customWidth="1"/>
    <col min="769" max="769" width="16.3333333333333" style="190" customWidth="1"/>
    <col min="770" max="770" width="16.4444444444444" style="190" customWidth="1"/>
    <col min="771" max="771" width="29" style="190" customWidth="1"/>
    <col min="772" max="772" width="20.3333333333333" style="190" customWidth="1"/>
    <col min="773" max="773" width="16.4444444444444" style="190" customWidth="1"/>
    <col min="774" max="774" width="13.3333333333333" style="190" customWidth="1"/>
    <col min="775" max="775" width="26.7777777777778" style="190" customWidth="1"/>
    <col min="776" max="776" width="14.1111111111111" style="190" customWidth="1"/>
    <col min="777" max="777" width="14.6666666666667" style="190" customWidth="1"/>
    <col min="778" max="1018" width="11.3333333333333" style="190"/>
    <col min="1019" max="1019" width="10.1111111111111" style="190" customWidth="1"/>
    <col min="1020" max="1020" width="25.3333333333333" style="190" customWidth="1"/>
    <col min="1021" max="1021" width="39.6666666666667" style="190" customWidth="1"/>
    <col min="1022" max="1022" width="107.111111111111" style="190" customWidth="1"/>
    <col min="1023" max="1023" width="11.4444444444444" style="190" customWidth="1"/>
    <col min="1024" max="1024" width="17" style="190" customWidth="1"/>
    <col min="1025" max="1025" width="16.3333333333333" style="190" customWidth="1"/>
    <col min="1026" max="1026" width="16.4444444444444" style="190" customWidth="1"/>
    <col min="1027" max="1027" width="29" style="190" customWidth="1"/>
    <col min="1028" max="1028" width="20.3333333333333" style="190" customWidth="1"/>
    <col min="1029" max="1029" width="16.4444444444444" style="190" customWidth="1"/>
    <col min="1030" max="1030" width="13.3333333333333" style="190" customWidth="1"/>
    <col min="1031" max="1031" width="26.7777777777778" style="190" customWidth="1"/>
    <col min="1032" max="1032" width="14.1111111111111" style="190" customWidth="1"/>
    <col min="1033" max="1033" width="14.6666666666667" style="190" customWidth="1"/>
    <col min="1034" max="1274" width="11.3333333333333" style="190"/>
    <col min="1275" max="1275" width="10.1111111111111" style="190" customWidth="1"/>
    <col min="1276" max="1276" width="25.3333333333333" style="190" customWidth="1"/>
    <col min="1277" max="1277" width="39.6666666666667" style="190" customWidth="1"/>
    <col min="1278" max="1278" width="107.111111111111" style="190" customWidth="1"/>
    <col min="1279" max="1279" width="11.4444444444444" style="190" customWidth="1"/>
    <col min="1280" max="1280" width="17" style="190" customWidth="1"/>
    <col min="1281" max="1281" width="16.3333333333333" style="190" customWidth="1"/>
    <col min="1282" max="1282" width="16.4444444444444" style="190" customWidth="1"/>
    <col min="1283" max="1283" width="29" style="190" customWidth="1"/>
    <col min="1284" max="1284" width="20.3333333333333" style="190" customWidth="1"/>
    <col min="1285" max="1285" width="16.4444444444444" style="190" customWidth="1"/>
    <col min="1286" max="1286" width="13.3333333333333" style="190" customWidth="1"/>
    <col min="1287" max="1287" width="26.7777777777778" style="190" customWidth="1"/>
    <col min="1288" max="1288" width="14.1111111111111" style="190" customWidth="1"/>
    <col min="1289" max="1289" width="14.6666666666667" style="190" customWidth="1"/>
    <col min="1290" max="1530" width="11.3333333333333" style="190"/>
    <col min="1531" max="1531" width="10.1111111111111" style="190" customWidth="1"/>
    <col min="1532" max="1532" width="25.3333333333333" style="190" customWidth="1"/>
    <col min="1533" max="1533" width="39.6666666666667" style="190" customWidth="1"/>
    <col min="1534" max="1534" width="107.111111111111" style="190" customWidth="1"/>
    <col min="1535" max="1535" width="11.4444444444444" style="190" customWidth="1"/>
    <col min="1536" max="1536" width="17" style="190" customWidth="1"/>
    <col min="1537" max="1537" width="16.3333333333333" style="190" customWidth="1"/>
    <col min="1538" max="1538" width="16.4444444444444" style="190" customWidth="1"/>
    <col min="1539" max="1539" width="29" style="190" customWidth="1"/>
    <col min="1540" max="1540" width="20.3333333333333" style="190" customWidth="1"/>
    <col min="1541" max="1541" width="16.4444444444444" style="190" customWidth="1"/>
    <col min="1542" max="1542" width="13.3333333333333" style="190" customWidth="1"/>
    <col min="1543" max="1543" width="26.7777777777778" style="190" customWidth="1"/>
    <col min="1544" max="1544" width="14.1111111111111" style="190" customWidth="1"/>
    <col min="1545" max="1545" width="14.6666666666667" style="190" customWidth="1"/>
    <col min="1546" max="1786" width="11.3333333333333" style="190"/>
    <col min="1787" max="1787" width="10.1111111111111" style="190" customWidth="1"/>
    <col min="1788" max="1788" width="25.3333333333333" style="190" customWidth="1"/>
    <col min="1789" max="1789" width="39.6666666666667" style="190" customWidth="1"/>
    <col min="1790" max="1790" width="107.111111111111" style="190" customWidth="1"/>
    <col min="1791" max="1791" width="11.4444444444444" style="190" customWidth="1"/>
    <col min="1792" max="1792" width="17" style="190" customWidth="1"/>
    <col min="1793" max="1793" width="16.3333333333333" style="190" customWidth="1"/>
    <col min="1794" max="1794" width="16.4444444444444" style="190" customWidth="1"/>
    <col min="1795" max="1795" width="29" style="190" customWidth="1"/>
    <col min="1796" max="1796" width="20.3333333333333" style="190" customWidth="1"/>
    <col min="1797" max="1797" width="16.4444444444444" style="190" customWidth="1"/>
    <col min="1798" max="1798" width="13.3333333333333" style="190" customWidth="1"/>
    <col min="1799" max="1799" width="26.7777777777778" style="190" customWidth="1"/>
    <col min="1800" max="1800" width="14.1111111111111" style="190" customWidth="1"/>
    <col min="1801" max="1801" width="14.6666666666667" style="190" customWidth="1"/>
    <col min="1802" max="2042" width="11.3333333333333" style="190"/>
    <col min="2043" max="2043" width="10.1111111111111" style="190" customWidth="1"/>
    <col min="2044" max="2044" width="25.3333333333333" style="190" customWidth="1"/>
    <col min="2045" max="2045" width="39.6666666666667" style="190" customWidth="1"/>
    <col min="2046" max="2046" width="107.111111111111" style="190" customWidth="1"/>
    <col min="2047" max="2047" width="11.4444444444444" style="190" customWidth="1"/>
    <col min="2048" max="2048" width="17" style="190" customWidth="1"/>
    <col min="2049" max="2049" width="16.3333333333333" style="190" customWidth="1"/>
    <col min="2050" max="2050" width="16.4444444444444" style="190" customWidth="1"/>
    <col min="2051" max="2051" width="29" style="190" customWidth="1"/>
    <col min="2052" max="2052" width="20.3333333333333" style="190" customWidth="1"/>
    <col min="2053" max="2053" width="16.4444444444444" style="190" customWidth="1"/>
    <col min="2054" max="2054" width="13.3333333333333" style="190" customWidth="1"/>
    <col min="2055" max="2055" width="26.7777777777778" style="190" customWidth="1"/>
    <col min="2056" max="2056" width="14.1111111111111" style="190" customWidth="1"/>
    <col min="2057" max="2057" width="14.6666666666667" style="190" customWidth="1"/>
    <col min="2058" max="2298" width="11.3333333333333" style="190"/>
    <col min="2299" max="2299" width="10.1111111111111" style="190" customWidth="1"/>
    <col min="2300" max="2300" width="25.3333333333333" style="190" customWidth="1"/>
    <col min="2301" max="2301" width="39.6666666666667" style="190" customWidth="1"/>
    <col min="2302" max="2302" width="107.111111111111" style="190" customWidth="1"/>
    <col min="2303" max="2303" width="11.4444444444444" style="190" customWidth="1"/>
    <col min="2304" max="2304" width="17" style="190" customWidth="1"/>
    <col min="2305" max="2305" width="16.3333333333333" style="190" customWidth="1"/>
    <col min="2306" max="2306" width="16.4444444444444" style="190" customWidth="1"/>
    <col min="2307" max="2307" width="29" style="190" customWidth="1"/>
    <col min="2308" max="2308" width="20.3333333333333" style="190" customWidth="1"/>
    <col min="2309" max="2309" width="16.4444444444444" style="190" customWidth="1"/>
    <col min="2310" max="2310" width="13.3333333333333" style="190" customWidth="1"/>
    <col min="2311" max="2311" width="26.7777777777778" style="190" customWidth="1"/>
    <col min="2312" max="2312" width="14.1111111111111" style="190" customWidth="1"/>
    <col min="2313" max="2313" width="14.6666666666667" style="190" customWidth="1"/>
    <col min="2314" max="2554" width="11.3333333333333" style="190"/>
    <col min="2555" max="2555" width="10.1111111111111" style="190" customWidth="1"/>
    <col min="2556" max="2556" width="25.3333333333333" style="190" customWidth="1"/>
    <col min="2557" max="2557" width="39.6666666666667" style="190" customWidth="1"/>
    <col min="2558" max="2558" width="107.111111111111" style="190" customWidth="1"/>
    <col min="2559" max="2559" width="11.4444444444444" style="190" customWidth="1"/>
    <col min="2560" max="2560" width="17" style="190" customWidth="1"/>
    <col min="2561" max="2561" width="16.3333333333333" style="190" customWidth="1"/>
    <col min="2562" max="2562" width="16.4444444444444" style="190" customWidth="1"/>
    <col min="2563" max="2563" width="29" style="190" customWidth="1"/>
    <col min="2564" max="2564" width="20.3333333333333" style="190" customWidth="1"/>
    <col min="2565" max="2565" width="16.4444444444444" style="190" customWidth="1"/>
    <col min="2566" max="2566" width="13.3333333333333" style="190" customWidth="1"/>
    <col min="2567" max="2567" width="26.7777777777778" style="190" customWidth="1"/>
    <col min="2568" max="2568" width="14.1111111111111" style="190" customWidth="1"/>
    <col min="2569" max="2569" width="14.6666666666667" style="190" customWidth="1"/>
    <col min="2570" max="2810" width="11.3333333333333" style="190"/>
    <col min="2811" max="2811" width="10.1111111111111" style="190" customWidth="1"/>
    <col min="2812" max="2812" width="25.3333333333333" style="190" customWidth="1"/>
    <col min="2813" max="2813" width="39.6666666666667" style="190" customWidth="1"/>
    <col min="2814" max="2814" width="107.111111111111" style="190" customWidth="1"/>
    <col min="2815" max="2815" width="11.4444444444444" style="190" customWidth="1"/>
    <col min="2816" max="2816" width="17" style="190" customWidth="1"/>
    <col min="2817" max="2817" width="16.3333333333333" style="190" customWidth="1"/>
    <col min="2818" max="2818" width="16.4444444444444" style="190" customWidth="1"/>
    <col min="2819" max="2819" width="29" style="190" customWidth="1"/>
    <col min="2820" max="2820" width="20.3333333333333" style="190" customWidth="1"/>
    <col min="2821" max="2821" width="16.4444444444444" style="190" customWidth="1"/>
    <col min="2822" max="2822" width="13.3333333333333" style="190" customWidth="1"/>
    <col min="2823" max="2823" width="26.7777777777778" style="190" customWidth="1"/>
    <col min="2824" max="2824" width="14.1111111111111" style="190" customWidth="1"/>
    <col min="2825" max="2825" width="14.6666666666667" style="190" customWidth="1"/>
    <col min="2826" max="3066" width="11.3333333333333" style="190"/>
    <col min="3067" max="3067" width="10.1111111111111" style="190" customWidth="1"/>
    <col min="3068" max="3068" width="25.3333333333333" style="190" customWidth="1"/>
    <col min="3069" max="3069" width="39.6666666666667" style="190" customWidth="1"/>
    <col min="3070" max="3070" width="107.111111111111" style="190" customWidth="1"/>
    <col min="3071" max="3071" width="11.4444444444444" style="190" customWidth="1"/>
    <col min="3072" max="3072" width="17" style="190" customWidth="1"/>
    <col min="3073" max="3073" width="16.3333333333333" style="190" customWidth="1"/>
    <col min="3074" max="3074" width="16.4444444444444" style="190" customWidth="1"/>
    <col min="3075" max="3075" width="29" style="190" customWidth="1"/>
    <col min="3076" max="3076" width="20.3333333333333" style="190" customWidth="1"/>
    <col min="3077" max="3077" width="16.4444444444444" style="190" customWidth="1"/>
    <col min="3078" max="3078" width="13.3333333333333" style="190" customWidth="1"/>
    <col min="3079" max="3079" width="26.7777777777778" style="190" customWidth="1"/>
    <col min="3080" max="3080" width="14.1111111111111" style="190" customWidth="1"/>
    <col min="3081" max="3081" width="14.6666666666667" style="190" customWidth="1"/>
    <col min="3082" max="3322" width="11.3333333333333" style="190"/>
    <col min="3323" max="3323" width="10.1111111111111" style="190" customWidth="1"/>
    <col min="3324" max="3324" width="25.3333333333333" style="190" customWidth="1"/>
    <col min="3325" max="3325" width="39.6666666666667" style="190" customWidth="1"/>
    <col min="3326" max="3326" width="107.111111111111" style="190" customWidth="1"/>
    <col min="3327" max="3327" width="11.4444444444444" style="190" customWidth="1"/>
    <col min="3328" max="3328" width="17" style="190" customWidth="1"/>
    <col min="3329" max="3329" width="16.3333333333333" style="190" customWidth="1"/>
    <col min="3330" max="3330" width="16.4444444444444" style="190" customWidth="1"/>
    <col min="3331" max="3331" width="29" style="190" customWidth="1"/>
    <col min="3332" max="3332" width="20.3333333333333" style="190" customWidth="1"/>
    <col min="3333" max="3333" width="16.4444444444444" style="190" customWidth="1"/>
    <col min="3334" max="3334" width="13.3333333333333" style="190" customWidth="1"/>
    <col min="3335" max="3335" width="26.7777777777778" style="190" customWidth="1"/>
    <col min="3336" max="3336" width="14.1111111111111" style="190" customWidth="1"/>
    <col min="3337" max="3337" width="14.6666666666667" style="190" customWidth="1"/>
    <col min="3338" max="3578" width="11.3333333333333" style="190"/>
    <col min="3579" max="3579" width="10.1111111111111" style="190" customWidth="1"/>
    <col min="3580" max="3580" width="25.3333333333333" style="190" customWidth="1"/>
    <col min="3581" max="3581" width="39.6666666666667" style="190" customWidth="1"/>
    <col min="3582" max="3582" width="107.111111111111" style="190" customWidth="1"/>
    <col min="3583" max="3583" width="11.4444444444444" style="190" customWidth="1"/>
    <col min="3584" max="3584" width="17" style="190" customWidth="1"/>
    <col min="3585" max="3585" width="16.3333333333333" style="190" customWidth="1"/>
    <col min="3586" max="3586" width="16.4444444444444" style="190" customWidth="1"/>
    <col min="3587" max="3587" width="29" style="190" customWidth="1"/>
    <col min="3588" max="3588" width="20.3333333333333" style="190" customWidth="1"/>
    <col min="3589" max="3589" width="16.4444444444444" style="190" customWidth="1"/>
    <col min="3590" max="3590" width="13.3333333333333" style="190" customWidth="1"/>
    <col min="3591" max="3591" width="26.7777777777778" style="190" customWidth="1"/>
    <col min="3592" max="3592" width="14.1111111111111" style="190" customWidth="1"/>
    <col min="3593" max="3593" width="14.6666666666667" style="190" customWidth="1"/>
    <col min="3594" max="3834" width="11.3333333333333" style="190"/>
    <col min="3835" max="3835" width="10.1111111111111" style="190" customWidth="1"/>
    <col min="3836" max="3836" width="25.3333333333333" style="190" customWidth="1"/>
    <col min="3837" max="3837" width="39.6666666666667" style="190" customWidth="1"/>
    <col min="3838" max="3838" width="107.111111111111" style="190" customWidth="1"/>
    <col min="3839" max="3839" width="11.4444444444444" style="190" customWidth="1"/>
    <col min="3840" max="3840" width="17" style="190" customWidth="1"/>
    <col min="3841" max="3841" width="16.3333333333333" style="190" customWidth="1"/>
    <col min="3842" max="3842" width="16.4444444444444" style="190" customWidth="1"/>
    <col min="3843" max="3843" width="29" style="190" customWidth="1"/>
    <col min="3844" max="3844" width="20.3333333333333" style="190" customWidth="1"/>
    <col min="3845" max="3845" width="16.4444444444444" style="190" customWidth="1"/>
    <col min="3846" max="3846" width="13.3333333333333" style="190" customWidth="1"/>
    <col min="3847" max="3847" width="26.7777777777778" style="190" customWidth="1"/>
    <col min="3848" max="3848" width="14.1111111111111" style="190" customWidth="1"/>
    <col min="3849" max="3849" width="14.6666666666667" style="190" customWidth="1"/>
    <col min="3850" max="4090" width="11.3333333333333" style="190"/>
    <col min="4091" max="4091" width="10.1111111111111" style="190" customWidth="1"/>
    <col min="4092" max="4092" width="25.3333333333333" style="190" customWidth="1"/>
    <col min="4093" max="4093" width="39.6666666666667" style="190" customWidth="1"/>
    <col min="4094" max="4094" width="107.111111111111" style="190" customWidth="1"/>
    <col min="4095" max="4095" width="11.4444444444444" style="190" customWidth="1"/>
    <col min="4096" max="4096" width="17" style="190" customWidth="1"/>
    <col min="4097" max="4097" width="16.3333333333333" style="190" customWidth="1"/>
    <col min="4098" max="4098" width="16.4444444444444" style="190" customWidth="1"/>
    <col min="4099" max="4099" width="29" style="190" customWidth="1"/>
    <col min="4100" max="4100" width="20.3333333333333" style="190" customWidth="1"/>
    <col min="4101" max="4101" width="16.4444444444444" style="190" customWidth="1"/>
    <col min="4102" max="4102" width="13.3333333333333" style="190" customWidth="1"/>
    <col min="4103" max="4103" width="26.7777777777778" style="190" customWidth="1"/>
    <col min="4104" max="4104" width="14.1111111111111" style="190" customWidth="1"/>
    <col min="4105" max="4105" width="14.6666666666667" style="190" customWidth="1"/>
    <col min="4106" max="4346" width="11.3333333333333" style="190"/>
    <col min="4347" max="4347" width="10.1111111111111" style="190" customWidth="1"/>
    <col min="4348" max="4348" width="25.3333333333333" style="190" customWidth="1"/>
    <col min="4349" max="4349" width="39.6666666666667" style="190" customWidth="1"/>
    <col min="4350" max="4350" width="107.111111111111" style="190" customWidth="1"/>
    <col min="4351" max="4351" width="11.4444444444444" style="190" customWidth="1"/>
    <col min="4352" max="4352" width="17" style="190" customWidth="1"/>
    <col min="4353" max="4353" width="16.3333333333333" style="190" customWidth="1"/>
    <col min="4354" max="4354" width="16.4444444444444" style="190" customWidth="1"/>
    <col min="4355" max="4355" width="29" style="190" customWidth="1"/>
    <col min="4356" max="4356" width="20.3333333333333" style="190" customWidth="1"/>
    <col min="4357" max="4357" width="16.4444444444444" style="190" customWidth="1"/>
    <col min="4358" max="4358" width="13.3333333333333" style="190" customWidth="1"/>
    <col min="4359" max="4359" width="26.7777777777778" style="190" customWidth="1"/>
    <col min="4360" max="4360" width="14.1111111111111" style="190" customWidth="1"/>
    <col min="4361" max="4361" width="14.6666666666667" style="190" customWidth="1"/>
    <col min="4362" max="4602" width="11.3333333333333" style="190"/>
    <col min="4603" max="4603" width="10.1111111111111" style="190" customWidth="1"/>
    <col min="4604" max="4604" width="25.3333333333333" style="190" customWidth="1"/>
    <col min="4605" max="4605" width="39.6666666666667" style="190" customWidth="1"/>
    <col min="4606" max="4606" width="107.111111111111" style="190" customWidth="1"/>
    <col min="4607" max="4607" width="11.4444444444444" style="190" customWidth="1"/>
    <col min="4608" max="4608" width="17" style="190" customWidth="1"/>
    <col min="4609" max="4609" width="16.3333333333333" style="190" customWidth="1"/>
    <col min="4610" max="4610" width="16.4444444444444" style="190" customWidth="1"/>
    <col min="4611" max="4611" width="29" style="190" customWidth="1"/>
    <col min="4612" max="4612" width="20.3333333333333" style="190" customWidth="1"/>
    <col min="4613" max="4613" width="16.4444444444444" style="190" customWidth="1"/>
    <col min="4614" max="4614" width="13.3333333333333" style="190" customWidth="1"/>
    <col min="4615" max="4615" width="26.7777777777778" style="190" customWidth="1"/>
    <col min="4616" max="4616" width="14.1111111111111" style="190" customWidth="1"/>
    <col min="4617" max="4617" width="14.6666666666667" style="190" customWidth="1"/>
    <col min="4618" max="4858" width="11.3333333333333" style="190"/>
    <col min="4859" max="4859" width="10.1111111111111" style="190" customWidth="1"/>
    <col min="4860" max="4860" width="25.3333333333333" style="190" customWidth="1"/>
    <col min="4861" max="4861" width="39.6666666666667" style="190" customWidth="1"/>
    <col min="4862" max="4862" width="107.111111111111" style="190" customWidth="1"/>
    <col min="4863" max="4863" width="11.4444444444444" style="190" customWidth="1"/>
    <col min="4864" max="4864" width="17" style="190" customWidth="1"/>
    <col min="4865" max="4865" width="16.3333333333333" style="190" customWidth="1"/>
    <col min="4866" max="4866" width="16.4444444444444" style="190" customWidth="1"/>
    <col min="4867" max="4867" width="29" style="190" customWidth="1"/>
    <col min="4868" max="4868" width="20.3333333333333" style="190" customWidth="1"/>
    <col min="4869" max="4869" width="16.4444444444444" style="190" customWidth="1"/>
    <col min="4870" max="4870" width="13.3333333333333" style="190" customWidth="1"/>
    <col min="4871" max="4871" width="26.7777777777778" style="190" customWidth="1"/>
    <col min="4872" max="4872" width="14.1111111111111" style="190" customWidth="1"/>
    <col min="4873" max="4873" width="14.6666666666667" style="190" customWidth="1"/>
    <col min="4874" max="5114" width="11.3333333333333" style="190"/>
    <col min="5115" max="5115" width="10.1111111111111" style="190" customWidth="1"/>
    <col min="5116" max="5116" width="25.3333333333333" style="190" customWidth="1"/>
    <col min="5117" max="5117" width="39.6666666666667" style="190" customWidth="1"/>
    <col min="5118" max="5118" width="107.111111111111" style="190" customWidth="1"/>
    <col min="5119" max="5119" width="11.4444444444444" style="190" customWidth="1"/>
    <col min="5120" max="5120" width="17" style="190" customWidth="1"/>
    <col min="5121" max="5121" width="16.3333333333333" style="190" customWidth="1"/>
    <col min="5122" max="5122" width="16.4444444444444" style="190" customWidth="1"/>
    <col min="5123" max="5123" width="29" style="190" customWidth="1"/>
    <col min="5124" max="5124" width="20.3333333333333" style="190" customWidth="1"/>
    <col min="5125" max="5125" width="16.4444444444444" style="190" customWidth="1"/>
    <col min="5126" max="5126" width="13.3333333333333" style="190" customWidth="1"/>
    <col min="5127" max="5127" width="26.7777777777778" style="190" customWidth="1"/>
    <col min="5128" max="5128" width="14.1111111111111" style="190" customWidth="1"/>
    <col min="5129" max="5129" width="14.6666666666667" style="190" customWidth="1"/>
    <col min="5130" max="5370" width="11.3333333333333" style="190"/>
    <col min="5371" max="5371" width="10.1111111111111" style="190" customWidth="1"/>
    <col min="5372" max="5372" width="25.3333333333333" style="190" customWidth="1"/>
    <col min="5373" max="5373" width="39.6666666666667" style="190" customWidth="1"/>
    <col min="5374" max="5374" width="107.111111111111" style="190" customWidth="1"/>
    <col min="5375" max="5375" width="11.4444444444444" style="190" customWidth="1"/>
    <col min="5376" max="5376" width="17" style="190" customWidth="1"/>
    <col min="5377" max="5377" width="16.3333333333333" style="190" customWidth="1"/>
    <col min="5378" max="5378" width="16.4444444444444" style="190" customWidth="1"/>
    <col min="5379" max="5379" width="29" style="190" customWidth="1"/>
    <col min="5380" max="5380" width="20.3333333333333" style="190" customWidth="1"/>
    <col min="5381" max="5381" width="16.4444444444444" style="190" customWidth="1"/>
    <col min="5382" max="5382" width="13.3333333333333" style="190" customWidth="1"/>
    <col min="5383" max="5383" width="26.7777777777778" style="190" customWidth="1"/>
    <col min="5384" max="5384" width="14.1111111111111" style="190" customWidth="1"/>
    <col min="5385" max="5385" width="14.6666666666667" style="190" customWidth="1"/>
    <col min="5386" max="5626" width="11.3333333333333" style="190"/>
    <col min="5627" max="5627" width="10.1111111111111" style="190" customWidth="1"/>
    <col min="5628" max="5628" width="25.3333333333333" style="190" customWidth="1"/>
    <col min="5629" max="5629" width="39.6666666666667" style="190" customWidth="1"/>
    <col min="5630" max="5630" width="107.111111111111" style="190" customWidth="1"/>
    <col min="5631" max="5631" width="11.4444444444444" style="190" customWidth="1"/>
    <col min="5632" max="5632" width="17" style="190" customWidth="1"/>
    <col min="5633" max="5633" width="16.3333333333333" style="190" customWidth="1"/>
    <col min="5634" max="5634" width="16.4444444444444" style="190" customWidth="1"/>
    <col min="5635" max="5635" width="29" style="190" customWidth="1"/>
    <col min="5636" max="5636" width="20.3333333333333" style="190" customWidth="1"/>
    <col min="5637" max="5637" width="16.4444444444444" style="190" customWidth="1"/>
    <col min="5638" max="5638" width="13.3333333333333" style="190" customWidth="1"/>
    <col min="5639" max="5639" width="26.7777777777778" style="190" customWidth="1"/>
    <col min="5640" max="5640" width="14.1111111111111" style="190" customWidth="1"/>
    <col min="5641" max="5641" width="14.6666666666667" style="190" customWidth="1"/>
    <col min="5642" max="5882" width="11.3333333333333" style="190"/>
    <col min="5883" max="5883" width="10.1111111111111" style="190" customWidth="1"/>
    <col min="5884" max="5884" width="25.3333333333333" style="190" customWidth="1"/>
    <col min="5885" max="5885" width="39.6666666666667" style="190" customWidth="1"/>
    <col min="5886" max="5886" width="107.111111111111" style="190" customWidth="1"/>
    <col min="5887" max="5887" width="11.4444444444444" style="190" customWidth="1"/>
    <col min="5888" max="5888" width="17" style="190" customWidth="1"/>
    <col min="5889" max="5889" width="16.3333333333333" style="190" customWidth="1"/>
    <col min="5890" max="5890" width="16.4444444444444" style="190" customWidth="1"/>
    <col min="5891" max="5891" width="29" style="190" customWidth="1"/>
    <col min="5892" max="5892" width="20.3333333333333" style="190" customWidth="1"/>
    <col min="5893" max="5893" width="16.4444444444444" style="190" customWidth="1"/>
    <col min="5894" max="5894" width="13.3333333333333" style="190" customWidth="1"/>
    <col min="5895" max="5895" width="26.7777777777778" style="190" customWidth="1"/>
    <col min="5896" max="5896" width="14.1111111111111" style="190" customWidth="1"/>
    <col min="5897" max="5897" width="14.6666666666667" style="190" customWidth="1"/>
    <col min="5898" max="6138" width="11.3333333333333" style="190"/>
    <col min="6139" max="6139" width="10.1111111111111" style="190" customWidth="1"/>
    <col min="6140" max="6140" width="25.3333333333333" style="190" customWidth="1"/>
    <col min="6141" max="6141" width="39.6666666666667" style="190" customWidth="1"/>
    <col min="6142" max="6142" width="107.111111111111" style="190" customWidth="1"/>
    <col min="6143" max="6143" width="11.4444444444444" style="190" customWidth="1"/>
    <col min="6144" max="6144" width="17" style="190" customWidth="1"/>
    <col min="6145" max="6145" width="16.3333333333333" style="190" customWidth="1"/>
    <col min="6146" max="6146" width="16.4444444444444" style="190" customWidth="1"/>
    <col min="6147" max="6147" width="29" style="190" customWidth="1"/>
    <col min="6148" max="6148" width="20.3333333333333" style="190" customWidth="1"/>
    <col min="6149" max="6149" width="16.4444444444444" style="190" customWidth="1"/>
    <col min="6150" max="6150" width="13.3333333333333" style="190" customWidth="1"/>
    <col min="6151" max="6151" width="26.7777777777778" style="190" customWidth="1"/>
    <col min="6152" max="6152" width="14.1111111111111" style="190" customWidth="1"/>
    <col min="6153" max="6153" width="14.6666666666667" style="190" customWidth="1"/>
    <col min="6154" max="6394" width="11.3333333333333" style="190"/>
    <col min="6395" max="6395" width="10.1111111111111" style="190" customWidth="1"/>
    <col min="6396" max="6396" width="25.3333333333333" style="190" customWidth="1"/>
    <col min="6397" max="6397" width="39.6666666666667" style="190" customWidth="1"/>
    <col min="6398" max="6398" width="107.111111111111" style="190" customWidth="1"/>
    <col min="6399" max="6399" width="11.4444444444444" style="190" customWidth="1"/>
    <col min="6400" max="6400" width="17" style="190" customWidth="1"/>
    <col min="6401" max="6401" width="16.3333333333333" style="190" customWidth="1"/>
    <col min="6402" max="6402" width="16.4444444444444" style="190" customWidth="1"/>
    <col min="6403" max="6403" width="29" style="190" customWidth="1"/>
    <col min="6404" max="6404" width="20.3333333333333" style="190" customWidth="1"/>
    <col min="6405" max="6405" width="16.4444444444444" style="190" customWidth="1"/>
    <col min="6406" max="6406" width="13.3333333333333" style="190" customWidth="1"/>
    <col min="6407" max="6407" width="26.7777777777778" style="190" customWidth="1"/>
    <col min="6408" max="6408" width="14.1111111111111" style="190" customWidth="1"/>
    <col min="6409" max="6409" width="14.6666666666667" style="190" customWidth="1"/>
    <col min="6410" max="6650" width="11.3333333333333" style="190"/>
    <col min="6651" max="6651" width="10.1111111111111" style="190" customWidth="1"/>
    <col min="6652" max="6652" width="25.3333333333333" style="190" customWidth="1"/>
    <col min="6653" max="6653" width="39.6666666666667" style="190" customWidth="1"/>
    <col min="6654" max="6654" width="107.111111111111" style="190" customWidth="1"/>
    <col min="6655" max="6655" width="11.4444444444444" style="190" customWidth="1"/>
    <col min="6656" max="6656" width="17" style="190" customWidth="1"/>
    <col min="6657" max="6657" width="16.3333333333333" style="190" customWidth="1"/>
    <col min="6658" max="6658" width="16.4444444444444" style="190" customWidth="1"/>
    <col min="6659" max="6659" width="29" style="190" customWidth="1"/>
    <col min="6660" max="6660" width="20.3333333333333" style="190" customWidth="1"/>
    <col min="6661" max="6661" width="16.4444444444444" style="190" customWidth="1"/>
    <col min="6662" max="6662" width="13.3333333333333" style="190" customWidth="1"/>
    <col min="6663" max="6663" width="26.7777777777778" style="190" customWidth="1"/>
    <col min="6664" max="6664" width="14.1111111111111" style="190" customWidth="1"/>
    <col min="6665" max="6665" width="14.6666666666667" style="190" customWidth="1"/>
    <col min="6666" max="6906" width="11.3333333333333" style="190"/>
    <col min="6907" max="6907" width="10.1111111111111" style="190" customWidth="1"/>
    <col min="6908" max="6908" width="25.3333333333333" style="190" customWidth="1"/>
    <col min="6909" max="6909" width="39.6666666666667" style="190" customWidth="1"/>
    <col min="6910" max="6910" width="107.111111111111" style="190" customWidth="1"/>
    <col min="6911" max="6911" width="11.4444444444444" style="190" customWidth="1"/>
    <col min="6912" max="6912" width="17" style="190" customWidth="1"/>
    <col min="6913" max="6913" width="16.3333333333333" style="190" customWidth="1"/>
    <col min="6914" max="6914" width="16.4444444444444" style="190" customWidth="1"/>
    <col min="6915" max="6915" width="29" style="190" customWidth="1"/>
    <col min="6916" max="6916" width="20.3333333333333" style="190" customWidth="1"/>
    <col min="6917" max="6917" width="16.4444444444444" style="190" customWidth="1"/>
    <col min="6918" max="6918" width="13.3333333333333" style="190" customWidth="1"/>
    <col min="6919" max="6919" width="26.7777777777778" style="190" customWidth="1"/>
    <col min="6920" max="6920" width="14.1111111111111" style="190" customWidth="1"/>
    <col min="6921" max="6921" width="14.6666666666667" style="190" customWidth="1"/>
    <col min="6922" max="7162" width="11.3333333333333" style="190"/>
    <col min="7163" max="7163" width="10.1111111111111" style="190" customWidth="1"/>
    <col min="7164" max="7164" width="25.3333333333333" style="190" customWidth="1"/>
    <col min="7165" max="7165" width="39.6666666666667" style="190" customWidth="1"/>
    <col min="7166" max="7166" width="107.111111111111" style="190" customWidth="1"/>
    <col min="7167" max="7167" width="11.4444444444444" style="190" customWidth="1"/>
    <col min="7168" max="7168" width="17" style="190" customWidth="1"/>
    <col min="7169" max="7169" width="16.3333333333333" style="190" customWidth="1"/>
    <col min="7170" max="7170" width="16.4444444444444" style="190" customWidth="1"/>
    <col min="7171" max="7171" width="29" style="190" customWidth="1"/>
    <col min="7172" max="7172" width="20.3333333333333" style="190" customWidth="1"/>
    <col min="7173" max="7173" width="16.4444444444444" style="190" customWidth="1"/>
    <col min="7174" max="7174" width="13.3333333333333" style="190" customWidth="1"/>
    <col min="7175" max="7175" width="26.7777777777778" style="190" customWidth="1"/>
    <col min="7176" max="7176" width="14.1111111111111" style="190" customWidth="1"/>
    <col min="7177" max="7177" width="14.6666666666667" style="190" customWidth="1"/>
    <col min="7178" max="7418" width="11.3333333333333" style="190"/>
    <col min="7419" max="7419" width="10.1111111111111" style="190" customWidth="1"/>
    <col min="7420" max="7420" width="25.3333333333333" style="190" customWidth="1"/>
    <col min="7421" max="7421" width="39.6666666666667" style="190" customWidth="1"/>
    <col min="7422" max="7422" width="107.111111111111" style="190" customWidth="1"/>
    <col min="7423" max="7423" width="11.4444444444444" style="190" customWidth="1"/>
    <col min="7424" max="7424" width="17" style="190" customWidth="1"/>
    <col min="7425" max="7425" width="16.3333333333333" style="190" customWidth="1"/>
    <col min="7426" max="7426" width="16.4444444444444" style="190" customWidth="1"/>
    <col min="7427" max="7427" width="29" style="190" customWidth="1"/>
    <col min="7428" max="7428" width="20.3333333333333" style="190" customWidth="1"/>
    <col min="7429" max="7429" width="16.4444444444444" style="190" customWidth="1"/>
    <col min="7430" max="7430" width="13.3333333333333" style="190" customWidth="1"/>
    <col min="7431" max="7431" width="26.7777777777778" style="190" customWidth="1"/>
    <col min="7432" max="7432" width="14.1111111111111" style="190" customWidth="1"/>
    <col min="7433" max="7433" width="14.6666666666667" style="190" customWidth="1"/>
    <col min="7434" max="7674" width="11.3333333333333" style="190"/>
    <col min="7675" max="7675" width="10.1111111111111" style="190" customWidth="1"/>
    <col min="7676" max="7676" width="25.3333333333333" style="190" customWidth="1"/>
    <col min="7677" max="7677" width="39.6666666666667" style="190" customWidth="1"/>
    <col min="7678" max="7678" width="107.111111111111" style="190" customWidth="1"/>
    <col min="7679" max="7679" width="11.4444444444444" style="190" customWidth="1"/>
    <col min="7680" max="7680" width="17" style="190" customWidth="1"/>
    <col min="7681" max="7681" width="16.3333333333333" style="190" customWidth="1"/>
    <col min="7682" max="7682" width="16.4444444444444" style="190" customWidth="1"/>
    <col min="7683" max="7683" width="29" style="190" customWidth="1"/>
    <col min="7684" max="7684" width="20.3333333333333" style="190" customWidth="1"/>
    <col min="7685" max="7685" width="16.4444444444444" style="190" customWidth="1"/>
    <col min="7686" max="7686" width="13.3333333333333" style="190" customWidth="1"/>
    <col min="7687" max="7687" width="26.7777777777778" style="190" customWidth="1"/>
    <col min="7688" max="7688" width="14.1111111111111" style="190" customWidth="1"/>
    <col min="7689" max="7689" width="14.6666666666667" style="190" customWidth="1"/>
    <col min="7690" max="7930" width="11.3333333333333" style="190"/>
    <col min="7931" max="7931" width="10.1111111111111" style="190" customWidth="1"/>
    <col min="7932" max="7932" width="25.3333333333333" style="190" customWidth="1"/>
    <col min="7933" max="7933" width="39.6666666666667" style="190" customWidth="1"/>
    <col min="7934" max="7934" width="107.111111111111" style="190" customWidth="1"/>
    <col min="7935" max="7935" width="11.4444444444444" style="190" customWidth="1"/>
    <col min="7936" max="7936" width="17" style="190" customWidth="1"/>
    <col min="7937" max="7937" width="16.3333333333333" style="190" customWidth="1"/>
    <col min="7938" max="7938" width="16.4444444444444" style="190" customWidth="1"/>
    <col min="7939" max="7939" width="29" style="190" customWidth="1"/>
    <col min="7940" max="7940" width="20.3333333333333" style="190" customWidth="1"/>
    <col min="7941" max="7941" width="16.4444444444444" style="190" customWidth="1"/>
    <col min="7942" max="7942" width="13.3333333333333" style="190" customWidth="1"/>
    <col min="7943" max="7943" width="26.7777777777778" style="190" customWidth="1"/>
    <col min="7944" max="7944" width="14.1111111111111" style="190" customWidth="1"/>
    <col min="7945" max="7945" width="14.6666666666667" style="190" customWidth="1"/>
    <col min="7946" max="8186" width="11.3333333333333" style="190"/>
    <col min="8187" max="8187" width="10.1111111111111" style="190" customWidth="1"/>
    <col min="8188" max="8188" width="25.3333333333333" style="190" customWidth="1"/>
    <col min="8189" max="8189" width="39.6666666666667" style="190" customWidth="1"/>
    <col min="8190" max="8190" width="107.111111111111" style="190" customWidth="1"/>
    <col min="8191" max="8191" width="11.4444444444444" style="190" customWidth="1"/>
    <col min="8192" max="8192" width="17" style="190" customWidth="1"/>
    <col min="8193" max="8193" width="16.3333333333333" style="190" customWidth="1"/>
    <col min="8194" max="8194" width="16.4444444444444" style="190" customWidth="1"/>
    <col min="8195" max="8195" width="29" style="190" customWidth="1"/>
    <col min="8196" max="8196" width="20.3333333333333" style="190" customWidth="1"/>
    <col min="8197" max="8197" width="16.4444444444444" style="190" customWidth="1"/>
    <col min="8198" max="8198" width="13.3333333333333" style="190" customWidth="1"/>
    <col min="8199" max="8199" width="26.7777777777778" style="190" customWidth="1"/>
    <col min="8200" max="8200" width="14.1111111111111" style="190" customWidth="1"/>
    <col min="8201" max="8201" width="14.6666666666667" style="190" customWidth="1"/>
    <col min="8202" max="8442" width="11.3333333333333" style="190"/>
    <col min="8443" max="8443" width="10.1111111111111" style="190" customWidth="1"/>
    <col min="8444" max="8444" width="25.3333333333333" style="190" customWidth="1"/>
    <col min="8445" max="8445" width="39.6666666666667" style="190" customWidth="1"/>
    <col min="8446" max="8446" width="107.111111111111" style="190" customWidth="1"/>
    <col min="8447" max="8447" width="11.4444444444444" style="190" customWidth="1"/>
    <col min="8448" max="8448" width="17" style="190" customWidth="1"/>
    <col min="8449" max="8449" width="16.3333333333333" style="190" customWidth="1"/>
    <col min="8450" max="8450" width="16.4444444444444" style="190" customWidth="1"/>
    <col min="8451" max="8451" width="29" style="190" customWidth="1"/>
    <col min="8452" max="8452" width="20.3333333333333" style="190" customWidth="1"/>
    <col min="8453" max="8453" width="16.4444444444444" style="190" customWidth="1"/>
    <col min="8454" max="8454" width="13.3333333333333" style="190" customWidth="1"/>
    <col min="8455" max="8455" width="26.7777777777778" style="190" customWidth="1"/>
    <col min="8456" max="8456" width="14.1111111111111" style="190" customWidth="1"/>
    <col min="8457" max="8457" width="14.6666666666667" style="190" customWidth="1"/>
    <col min="8458" max="8698" width="11.3333333333333" style="190"/>
    <col min="8699" max="8699" width="10.1111111111111" style="190" customWidth="1"/>
    <col min="8700" max="8700" width="25.3333333333333" style="190" customWidth="1"/>
    <col min="8701" max="8701" width="39.6666666666667" style="190" customWidth="1"/>
    <col min="8702" max="8702" width="107.111111111111" style="190" customWidth="1"/>
    <col min="8703" max="8703" width="11.4444444444444" style="190" customWidth="1"/>
    <col min="8704" max="8704" width="17" style="190" customWidth="1"/>
    <col min="8705" max="8705" width="16.3333333333333" style="190" customWidth="1"/>
    <col min="8706" max="8706" width="16.4444444444444" style="190" customWidth="1"/>
    <col min="8707" max="8707" width="29" style="190" customWidth="1"/>
    <col min="8708" max="8708" width="20.3333333333333" style="190" customWidth="1"/>
    <col min="8709" max="8709" width="16.4444444444444" style="190" customWidth="1"/>
    <col min="8710" max="8710" width="13.3333333333333" style="190" customWidth="1"/>
    <col min="8711" max="8711" width="26.7777777777778" style="190" customWidth="1"/>
    <col min="8712" max="8712" width="14.1111111111111" style="190" customWidth="1"/>
    <col min="8713" max="8713" width="14.6666666666667" style="190" customWidth="1"/>
    <col min="8714" max="8954" width="11.3333333333333" style="190"/>
    <col min="8955" max="8955" width="10.1111111111111" style="190" customWidth="1"/>
    <col min="8956" max="8956" width="25.3333333333333" style="190" customWidth="1"/>
    <col min="8957" max="8957" width="39.6666666666667" style="190" customWidth="1"/>
    <col min="8958" max="8958" width="107.111111111111" style="190" customWidth="1"/>
    <col min="8959" max="8959" width="11.4444444444444" style="190" customWidth="1"/>
    <col min="8960" max="8960" width="17" style="190" customWidth="1"/>
    <col min="8961" max="8961" width="16.3333333333333" style="190" customWidth="1"/>
    <col min="8962" max="8962" width="16.4444444444444" style="190" customWidth="1"/>
    <col min="8963" max="8963" width="29" style="190" customWidth="1"/>
    <col min="8964" max="8964" width="20.3333333333333" style="190" customWidth="1"/>
    <col min="8965" max="8965" width="16.4444444444444" style="190" customWidth="1"/>
    <col min="8966" max="8966" width="13.3333333333333" style="190" customWidth="1"/>
    <col min="8967" max="8967" width="26.7777777777778" style="190" customWidth="1"/>
    <col min="8968" max="8968" width="14.1111111111111" style="190" customWidth="1"/>
    <col min="8969" max="8969" width="14.6666666666667" style="190" customWidth="1"/>
    <col min="8970" max="9210" width="11.3333333333333" style="190"/>
    <col min="9211" max="9211" width="10.1111111111111" style="190" customWidth="1"/>
    <col min="9212" max="9212" width="25.3333333333333" style="190" customWidth="1"/>
    <col min="9213" max="9213" width="39.6666666666667" style="190" customWidth="1"/>
    <col min="9214" max="9214" width="107.111111111111" style="190" customWidth="1"/>
    <col min="9215" max="9215" width="11.4444444444444" style="190" customWidth="1"/>
    <col min="9216" max="9216" width="17" style="190" customWidth="1"/>
    <col min="9217" max="9217" width="16.3333333333333" style="190" customWidth="1"/>
    <col min="9218" max="9218" width="16.4444444444444" style="190" customWidth="1"/>
    <col min="9219" max="9219" width="29" style="190" customWidth="1"/>
    <col min="9220" max="9220" width="20.3333333333333" style="190" customWidth="1"/>
    <col min="9221" max="9221" width="16.4444444444444" style="190" customWidth="1"/>
    <col min="9222" max="9222" width="13.3333333333333" style="190" customWidth="1"/>
    <col min="9223" max="9223" width="26.7777777777778" style="190" customWidth="1"/>
    <col min="9224" max="9224" width="14.1111111111111" style="190" customWidth="1"/>
    <col min="9225" max="9225" width="14.6666666666667" style="190" customWidth="1"/>
    <col min="9226" max="9466" width="11.3333333333333" style="190"/>
    <col min="9467" max="9467" width="10.1111111111111" style="190" customWidth="1"/>
    <col min="9468" max="9468" width="25.3333333333333" style="190" customWidth="1"/>
    <col min="9469" max="9469" width="39.6666666666667" style="190" customWidth="1"/>
    <col min="9470" max="9470" width="107.111111111111" style="190" customWidth="1"/>
    <col min="9471" max="9471" width="11.4444444444444" style="190" customWidth="1"/>
    <col min="9472" max="9472" width="17" style="190" customWidth="1"/>
    <col min="9473" max="9473" width="16.3333333333333" style="190" customWidth="1"/>
    <col min="9474" max="9474" width="16.4444444444444" style="190" customWidth="1"/>
    <col min="9475" max="9475" width="29" style="190" customWidth="1"/>
    <col min="9476" max="9476" width="20.3333333333333" style="190" customWidth="1"/>
    <col min="9477" max="9477" width="16.4444444444444" style="190" customWidth="1"/>
    <col min="9478" max="9478" width="13.3333333333333" style="190" customWidth="1"/>
    <col min="9479" max="9479" width="26.7777777777778" style="190" customWidth="1"/>
    <col min="9480" max="9480" width="14.1111111111111" style="190" customWidth="1"/>
    <col min="9481" max="9481" width="14.6666666666667" style="190" customWidth="1"/>
    <col min="9482" max="9722" width="11.3333333333333" style="190"/>
    <col min="9723" max="9723" width="10.1111111111111" style="190" customWidth="1"/>
    <col min="9724" max="9724" width="25.3333333333333" style="190" customWidth="1"/>
    <col min="9725" max="9725" width="39.6666666666667" style="190" customWidth="1"/>
    <col min="9726" max="9726" width="107.111111111111" style="190" customWidth="1"/>
    <col min="9727" max="9727" width="11.4444444444444" style="190" customWidth="1"/>
    <col min="9728" max="9728" width="17" style="190" customWidth="1"/>
    <col min="9729" max="9729" width="16.3333333333333" style="190" customWidth="1"/>
    <col min="9730" max="9730" width="16.4444444444444" style="190" customWidth="1"/>
    <col min="9731" max="9731" width="29" style="190" customWidth="1"/>
    <col min="9732" max="9732" width="20.3333333333333" style="190" customWidth="1"/>
    <col min="9733" max="9733" width="16.4444444444444" style="190" customWidth="1"/>
    <col min="9734" max="9734" width="13.3333333333333" style="190" customWidth="1"/>
    <col min="9735" max="9735" width="26.7777777777778" style="190" customWidth="1"/>
    <col min="9736" max="9736" width="14.1111111111111" style="190" customWidth="1"/>
    <col min="9737" max="9737" width="14.6666666666667" style="190" customWidth="1"/>
    <col min="9738" max="9978" width="11.3333333333333" style="190"/>
    <col min="9979" max="9979" width="10.1111111111111" style="190" customWidth="1"/>
    <col min="9980" max="9980" width="25.3333333333333" style="190" customWidth="1"/>
    <col min="9981" max="9981" width="39.6666666666667" style="190" customWidth="1"/>
    <col min="9982" max="9982" width="107.111111111111" style="190" customWidth="1"/>
    <col min="9983" max="9983" width="11.4444444444444" style="190" customWidth="1"/>
    <col min="9984" max="9984" width="17" style="190" customWidth="1"/>
    <col min="9985" max="9985" width="16.3333333333333" style="190" customWidth="1"/>
    <col min="9986" max="9986" width="16.4444444444444" style="190" customWidth="1"/>
    <col min="9987" max="9987" width="29" style="190" customWidth="1"/>
    <col min="9988" max="9988" width="20.3333333333333" style="190" customWidth="1"/>
    <col min="9989" max="9989" width="16.4444444444444" style="190" customWidth="1"/>
    <col min="9990" max="9990" width="13.3333333333333" style="190" customWidth="1"/>
    <col min="9991" max="9991" width="26.7777777777778" style="190" customWidth="1"/>
    <col min="9992" max="9992" width="14.1111111111111" style="190" customWidth="1"/>
    <col min="9993" max="9993" width="14.6666666666667" style="190" customWidth="1"/>
    <col min="9994" max="10234" width="11.3333333333333" style="190"/>
    <col min="10235" max="10235" width="10.1111111111111" style="190" customWidth="1"/>
    <col min="10236" max="10236" width="25.3333333333333" style="190" customWidth="1"/>
    <col min="10237" max="10237" width="39.6666666666667" style="190" customWidth="1"/>
    <col min="10238" max="10238" width="107.111111111111" style="190" customWidth="1"/>
    <col min="10239" max="10239" width="11.4444444444444" style="190" customWidth="1"/>
    <col min="10240" max="10240" width="17" style="190" customWidth="1"/>
    <col min="10241" max="10241" width="16.3333333333333" style="190" customWidth="1"/>
    <col min="10242" max="10242" width="16.4444444444444" style="190" customWidth="1"/>
    <col min="10243" max="10243" width="29" style="190" customWidth="1"/>
    <col min="10244" max="10244" width="20.3333333333333" style="190" customWidth="1"/>
    <col min="10245" max="10245" width="16.4444444444444" style="190" customWidth="1"/>
    <col min="10246" max="10246" width="13.3333333333333" style="190" customWidth="1"/>
    <col min="10247" max="10247" width="26.7777777777778" style="190" customWidth="1"/>
    <col min="10248" max="10248" width="14.1111111111111" style="190" customWidth="1"/>
    <col min="10249" max="10249" width="14.6666666666667" style="190" customWidth="1"/>
    <col min="10250" max="10490" width="11.3333333333333" style="190"/>
    <col min="10491" max="10491" width="10.1111111111111" style="190" customWidth="1"/>
    <col min="10492" max="10492" width="25.3333333333333" style="190" customWidth="1"/>
    <col min="10493" max="10493" width="39.6666666666667" style="190" customWidth="1"/>
    <col min="10494" max="10494" width="107.111111111111" style="190" customWidth="1"/>
    <col min="10495" max="10495" width="11.4444444444444" style="190" customWidth="1"/>
    <col min="10496" max="10496" width="17" style="190" customWidth="1"/>
    <col min="10497" max="10497" width="16.3333333333333" style="190" customWidth="1"/>
    <col min="10498" max="10498" width="16.4444444444444" style="190" customWidth="1"/>
    <col min="10499" max="10499" width="29" style="190" customWidth="1"/>
    <col min="10500" max="10500" width="20.3333333333333" style="190" customWidth="1"/>
    <col min="10501" max="10501" width="16.4444444444444" style="190" customWidth="1"/>
    <col min="10502" max="10502" width="13.3333333333333" style="190" customWidth="1"/>
    <col min="10503" max="10503" width="26.7777777777778" style="190" customWidth="1"/>
    <col min="10504" max="10504" width="14.1111111111111" style="190" customWidth="1"/>
    <col min="10505" max="10505" width="14.6666666666667" style="190" customWidth="1"/>
    <col min="10506" max="10746" width="11.3333333333333" style="190"/>
    <col min="10747" max="10747" width="10.1111111111111" style="190" customWidth="1"/>
    <col min="10748" max="10748" width="25.3333333333333" style="190" customWidth="1"/>
    <col min="10749" max="10749" width="39.6666666666667" style="190" customWidth="1"/>
    <col min="10750" max="10750" width="107.111111111111" style="190" customWidth="1"/>
    <col min="10751" max="10751" width="11.4444444444444" style="190" customWidth="1"/>
    <col min="10752" max="10752" width="17" style="190" customWidth="1"/>
    <col min="10753" max="10753" width="16.3333333333333" style="190" customWidth="1"/>
    <col min="10754" max="10754" width="16.4444444444444" style="190" customWidth="1"/>
    <col min="10755" max="10755" width="29" style="190" customWidth="1"/>
    <col min="10756" max="10756" width="20.3333333333333" style="190" customWidth="1"/>
    <col min="10757" max="10757" width="16.4444444444444" style="190" customWidth="1"/>
    <col min="10758" max="10758" width="13.3333333333333" style="190" customWidth="1"/>
    <col min="10759" max="10759" width="26.7777777777778" style="190" customWidth="1"/>
    <col min="10760" max="10760" width="14.1111111111111" style="190" customWidth="1"/>
    <col min="10761" max="10761" width="14.6666666666667" style="190" customWidth="1"/>
    <col min="10762" max="11002" width="11.3333333333333" style="190"/>
    <col min="11003" max="11003" width="10.1111111111111" style="190" customWidth="1"/>
    <col min="11004" max="11004" width="25.3333333333333" style="190" customWidth="1"/>
    <col min="11005" max="11005" width="39.6666666666667" style="190" customWidth="1"/>
    <col min="11006" max="11006" width="107.111111111111" style="190" customWidth="1"/>
    <col min="11007" max="11007" width="11.4444444444444" style="190" customWidth="1"/>
    <col min="11008" max="11008" width="17" style="190" customWidth="1"/>
    <col min="11009" max="11009" width="16.3333333333333" style="190" customWidth="1"/>
    <col min="11010" max="11010" width="16.4444444444444" style="190" customWidth="1"/>
    <col min="11011" max="11011" width="29" style="190" customWidth="1"/>
    <col min="11012" max="11012" width="20.3333333333333" style="190" customWidth="1"/>
    <col min="11013" max="11013" width="16.4444444444444" style="190" customWidth="1"/>
    <col min="11014" max="11014" width="13.3333333333333" style="190" customWidth="1"/>
    <col min="11015" max="11015" width="26.7777777777778" style="190" customWidth="1"/>
    <col min="11016" max="11016" width="14.1111111111111" style="190" customWidth="1"/>
    <col min="11017" max="11017" width="14.6666666666667" style="190" customWidth="1"/>
    <col min="11018" max="11258" width="11.3333333333333" style="190"/>
    <col min="11259" max="11259" width="10.1111111111111" style="190" customWidth="1"/>
    <col min="11260" max="11260" width="25.3333333333333" style="190" customWidth="1"/>
    <col min="11261" max="11261" width="39.6666666666667" style="190" customWidth="1"/>
    <col min="11262" max="11262" width="107.111111111111" style="190" customWidth="1"/>
    <col min="11263" max="11263" width="11.4444444444444" style="190" customWidth="1"/>
    <col min="11264" max="11264" width="17" style="190" customWidth="1"/>
    <col min="11265" max="11265" width="16.3333333333333" style="190" customWidth="1"/>
    <col min="11266" max="11266" width="16.4444444444444" style="190" customWidth="1"/>
    <col min="11267" max="11267" width="29" style="190" customWidth="1"/>
    <col min="11268" max="11268" width="20.3333333333333" style="190" customWidth="1"/>
    <col min="11269" max="11269" width="16.4444444444444" style="190" customWidth="1"/>
    <col min="11270" max="11270" width="13.3333333333333" style="190" customWidth="1"/>
    <col min="11271" max="11271" width="26.7777777777778" style="190" customWidth="1"/>
    <col min="11272" max="11272" width="14.1111111111111" style="190" customWidth="1"/>
    <col min="11273" max="11273" width="14.6666666666667" style="190" customWidth="1"/>
    <col min="11274" max="11514" width="11.3333333333333" style="190"/>
    <col min="11515" max="11515" width="10.1111111111111" style="190" customWidth="1"/>
    <col min="11516" max="11516" width="25.3333333333333" style="190" customWidth="1"/>
    <col min="11517" max="11517" width="39.6666666666667" style="190" customWidth="1"/>
    <col min="11518" max="11518" width="107.111111111111" style="190" customWidth="1"/>
    <col min="11519" max="11519" width="11.4444444444444" style="190" customWidth="1"/>
    <col min="11520" max="11520" width="17" style="190" customWidth="1"/>
    <col min="11521" max="11521" width="16.3333333333333" style="190" customWidth="1"/>
    <col min="11522" max="11522" width="16.4444444444444" style="190" customWidth="1"/>
    <col min="11523" max="11523" width="29" style="190" customWidth="1"/>
    <col min="11524" max="11524" width="20.3333333333333" style="190" customWidth="1"/>
    <col min="11525" max="11525" width="16.4444444444444" style="190" customWidth="1"/>
    <col min="11526" max="11526" width="13.3333333333333" style="190" customWidth="1"/>
    <col min="11527" max="11527" width="26.7777777777778" style="190" customWidth="1"/>
    <col min="11528" max="11528" width="14.1111111111111" style="190" customWidth="1"/>
    <col min="11529" max="11529" width="14.6666666666667" style="190" customWidth="1"/>
    <col min="11530" max="11770" width="11.3333333333333" style="190"/>
    <col min="11771" max="11771" width="10.1111111111111" style="190" customWidth="1"/>
    <col min="11772" max="11772" width="25.3333333333333" style="190" customWidth="1"/>
    <col min="11773" max="11773" width="39.6666666666667" style="190" customWidth="1"/>
    <col min="11774" max="11774" width="107.111111111111" style="190" customWidth="1"/>
    <col min="11775" max="11775" width="11.4444444444444" style="190" customWidth="1"/>
    <col min="11776" max="11776" width="17" style="190" customWidth="1"/>
    <col min="11777" max="11777" width="16.3333333333333" style="190" customWidth="1"/>
    <col min="11778" max="11778" width="16.4444444444444" style="190" customWidth="1"/>
    <col min="11779" max="11779" width="29" style="190" customWidth="1"/>
    <col min="11780" max="11780" width="20.3333333333333" style="190" customWidth="1"/>
    <col min="11781" max="11781" width="16.4444444444444" style="190" customWidth="1"/>
    <col min="11782" max="11782" width="13.3333333333333" style="190" customWidth="1"/>
    <col min="11783" max="11783" width="26.7777777777778" style="190" customWidth="1"/>
    <col min="11784" max="11784" width="14.1111111111111" style="190" customWidth="1"/>
    <col min="11785" max="11785" width="14.6666666666667" style="190" customWidth="1"/>
    <col min="11786" max="12026" width="11.3333333333333" style="190"/>
    <col min="12027" max="12027" width="10.1111111111111" style="190" customWidth="1"/>
    <col min="12028" max="12028" width="25.3333333333333" style="190" customWidth="1"/>
    <col min="12029" max="12029" width="39.6666666666667" style="190" customWidth="1"/>
    <col min="12030" max="12030" width="107.111111111111" style="190" customWidth="1"/>
    <col min="12031" max="12031" width="11.4444444444444" style="190" customWidth="1"/>
    <col min="12032" max="12032" width="17" style="190" customWidth="1"/>
    <col min="12033" max="12033" width="16.3333333333333" style="190" customWidth="1"/>
    <col min="12034" max="12034" width="16.4444444444444" style="190" customWidth="1"/>
    <col min="12035" max="12035" width="29" style="190" customWidth="1"/>
    <col min="12036" max="12036" width="20.3333333333333" style="190" customWidth="1"/>
    <col min="12037" max="12037" width="16.4444444444444" style="190" customWidth="1"/>
    <col min="12038" max="12038" width="13.3333333333333" style="190" customWidth="1"/>
    <col min="12039" max="12039" width="26.7777777777778" style="190" customWidth="1"/>
    <col min="12040" max="12040" width="14.1111111111111" style="190" customWidth="1"/>
    <col min="12041" max="12041" width="14.6666666666667" style="190" customWidth="1"/>
    <col min="12042" max="12282" width="11.3333333333333" style="190"/>
    <col min="12283" max="12283" width="10.1111111111111" style="190" customWidth="1"/>
    <col min="12284" max="12284" width="25.3333333333333" style="190" customWidth="1"/>
    <col min="12285" max="12285" width="39.6666666666667" style="190" customWidth="1"/>
    <col min="12286" max="12286" width="107.111111111111" style="190" customWidth="1"/>
    <col min="12287" max="12287" width="11.4444444444444" style="190" customWidth="1"/>
    <col min="12288" max="12288" width="17" style="190" customWidth="1"/>
    <col min="12289" max="12289" width="16.3333333333333" style="190" customWidth="1"/>
    <col min="12290" max="12290" width="16.4444444444444" style="190" customWidth="1"/>
    <col min="12291" max="12291" width="29" style="190" customWidth="1"/>
    <col min="12292" max="12292" width="20.3333333333333" style="190" customWidth="1"/>
    <col min="12293" max="12293" width="16.4444444444444" style="190" customWidth="1"/>
    <col min="12294" max="12294" width="13.3333333333333" style="190" customWidth="1"/>
    <col min="12295" max="12295" width="26.7777777777778" style="190" customWidth="1"/>
    <col min="12296" max="12296" width="14.1111111111111" style="190" customWidth="1"/>
    <col min="12297" max="12297" width="14.6666666666667" style="190" customWidth="1"/>
    <col min="12298" max="12538" width="11.3333333333333" style="190"/>
    <col min="12539" max="12539" width="10.1111111111111" style="190" customWidth="1"/>
    <col min="12540" max="12540" width="25.3333333333333" style="190" customWidth="1"/>
    <col min="12541" max="12541" width="39.6666666666667" style="190" customWidth="1"/>
    <col min="12542" max="12542" width="107.111111111111" style="190" customWidth="1"/>
    <col min="12543" max="12543" width="11.4444444444444" style="190" customWidth="1"/>
    <col min="12544" max="12544" width="17" style="190" customWidth="1"/>
    <col min="12545" max="12545" width="16.3333333333333" style="190" customWidth="1"/>
    <col min="12546" max="12546" width="16.4444444444444" style="190" customWidth="1"/>
    <col min="12547" max="12547" width="29" style="190" customWidth="1"/>
    <col min="12548" max="12548" width="20.3333333333333" style="190" customWidth="1"/>
    <col min="12549" max="12549" width="16.4444444444444" style="190" customWidth="1"/>
    <col min="12550" max="12550" width="13.3333333333333" style="190" customWidth="1"/>
    <col min="12551" max="12551" width="26.7777777777778" style="190" customWidth="1"/>
    <col min="12552" max="12552" width="14.1111111111111" style="190" customWidth="1"/>
    <col min="12553" max="12553" width="14.6666666666667" style="190" customWidth="1"/>
    <col min="12554" max="12794" width="11.3333333333333" style="190"/>
    <col min="12795" max="12795" width="10.1111111111111" style="190" customWidth="1"/>
    <col min="12796" max="12796" width="25.3333333333333" style="190" customWidth="1"/>
    <col min="12797" max="12797" width="39.6666666666667" style="190" customWidth="1"/>
    <col min="12798" max="12798" width="107.111111111111" style="190" customWidth="1"/>
    <col min="12799" max="12799" width="11.4444444444444" style="190" customWidth="1"/>
    <col min="12800" max="12800" width="17" style="190" customWidth="1"/>
    <col min="12801" max="12801" width="16.3333333333333" style="190" customWidth="1"/>
    <col min="12802" max="12802" width="16.4444444444444" style="190" customWidth="1"/>
    <col min="12803" max="12803" width="29" style="190" customWidth="1"/>
    <col min="12804" max="12804" width="20.3333333333333" style="190" customWidth="1"/>
    <col min="12805" max="12805" width="16.4444444444444" style="190" customWidth="1"/>
    <col min="12806" max="12806" width="13.3333333333333" style="190" customWidth="1"/>
    <col min="12807" max="12807" width="26.7777777777778" style="190" customWidth="1"/>
    <col min="12808" max="12808" width="14.1111111111111" style="190" customWidth="1"/>
    <col min="12809" max="12809" width="14.6666666666667" style="190" customWidth="1"/>
    <col min="12810" max="13050" width="11.3333333333333" style="190"/>
    <col min="13051" max="13051" width="10.1111111111111" style="190" customWidth="1"/>
    <col min="13052" max="13052" width="25.3333333333333" style="190" customWidth="1"/>
    <col min="13053" max="13053" width="39.6666666666667" style="190" customWidth="1"/>
    <col min="13054" max="13054" width="107.111111111111" style="190" customWidth="1"/>
    <col min="13055" max="13055" width="11.4444444444444" style="190" customWidth="1"/>
    <col min="13056" max="13056" width="17" style="190" customWidth="1"/>
    <col min="13057" max="13057" width="16.3333333333333" style="190" customWidth="1"/>
    <col min="13058" max="13058" width="16.4444444444444" style="190" customWidth="1"/>
    <col min="13059" max="13059" width="29" style="190" customWidth="1"/>
    <col min="13060" max="13060" width="20.3333333333333" style="190" customWidth="1"/>
    <col min="13061" max="13061" width="16.4444444444444" style="190" customWidth="1"/>
    <col min="13062" max="13062" width="13.3333333333333" style="190" customWidth="1"/>
    <col min="13063" max="13063" width="26.7777777777778" style="190" customWidth="1"/>
    <col min="13064" max="13064" width="14.1111111111111" style="190" customWidth="1"/>
    <col min="13065" max="13065" width="14.6666666666667" style="190" customWidth="1"/>
    <col min="13066" max="13306" width="11.3333333333333" style="190"/>
    <col min="13307" max="13307" width="10.1111111111111" style="190" customWidth="1"/>
    <col min="13308" max="13308" width="25.3333333333333" style="190" customWidth="1"/>
    <col min="13309" max="13309" width="39.6666666666667" style="190" customWidth="1"/>
    <col min="13310" max="13310" width="107.111111111111" style="190" customWidth="1"/>
    <col min="13311" max="13311" width="11.4444444444444" style="190" customWidth="1"/>
    <col min="13312" max="13312" width="17" style="190" customWidth="1"/>
    <col min="13313" max="13313" width="16.3333333333333" style="190" customWidth="1"/>
    <col min="13314" max="13314" width="16.4444444444444" style="190" customWidth="1"/>
    <col min="13315" max="13315" width="29" style="190" customWidth="1"/>
    <col min="13316" max="13316" width="20.3333333333333" style="190" customWidth="1"/>
    <col min="13317" max="13317" width="16.4444444444444" style="190" customWidth="1"/>
    <col min="13318" max="13318" width="13.3333333333333" style="190" customWidth="1"/>
    <col min="13319" max="13319" width="26.7777777777778" style="190" customWidth="1"/>
    <col min="13320" max="13320" width="14.1111111111111" style="190" customWidth="1"/>
    <col min="13321" max="13321" width="14.6666666666667" style="190" customWidth="1"/>
    <col min="13322" max="13562" width="11.3333333333333" style="190"/>
    <col min="13563" max="13563" width="10.1111111111111" style="190" customWidth="1"/>
    <col min="13564" max="13564" width="25.3333333333333" style="190" customWidth="1"/>
    <col min="13565" max="13565" width="39.6666666666667" style="190" customWidth="1"/>
    <col min="13566" max="13566" width="107.111111111111" style="190" customWidth="1"/>
    <col min="13567" max="13567" width="11.4444444444444" style="190" customWidth="1"/>
    <col min="13568" max="13568" width="17" style="190" customWidth="1"/>
    <col min="13569" max="13569" width="16.3333333333333" style="190" customWidth="1"/>
    <col min="13570" max="13570" width="16.4444444444444" style="190" customWidth="1"/>
    <col min="13571" max="13571" width="29" style="190" customWidth="1"/>
    <col min="13572" max="13572" width="20.3333333333333" style="190" customWidth="1"/>
    <col min="13573" max="13573" width="16.4444444444444" style="190" customWidth="1"/>
    <col min="13574" max="13574" width="13.3333333333333" style="190" customWidth="1"/>
    <col min="13575" max="13575" width="26.7777777777778" style="190" customWidth="1"/>
    <col min="13576" max="13576" width="14.1111111111111" style="190" customWidth="1"/>
    <col min="13577" max="13577" width="14.6666666666667" style="190" customWidth="1"/>
    <col min="13578" max="13818" width="11.3333333333333" style="190"/>
    <col min="13819" max="13819" width="10.1111111111111" style="190" customWidth="1"/>
    <col min="13820" max="13820" width="25.3333333333333" style="190" customWidth="1"/>
    <col min="13821" max="13821" width="39.6666666666667" style="190" customWidth="1"/>
    <col min="13822" max="13822" width="107.111111111111" style="190" customWidth="1"/>
    <col min="13823" max="13823" width="11.4444444444444" style="190" customWidth="1"/>
    <col min="13824" max="13824" width="17" style="190" customWidth="1"/>
    <col min="13825" max="13825" width="16.3333333333333" style="190" customWidth="1"/>
    <col min="13826" max="13826" width="16.4444444444444" style="190" customWidth="1"/>
    <col min="13827" max="13827" width="29" style="190" customWidth="1"/>
    <col min="13828" max="13828" width="20.3333333333333" style="190" customWidth="1"/>
    <col min="13829" max="13829" width="16.4444444444444" style="190" customWidth="1"/>
    <col min="13830" max="13830" width="13.3333333333333" style="190" customWidth="1"/>
    <col min="13831" max="13831" width="26.7777777777778" style="190" customWidth="1"/>
    <col min="13832" max="13832" width="14.1111111111111" style="190" customWidth="1"/>
    <col min="13833" max="13833" width="14.6666666666667" style="190" customWidth="1"/>
    <col min="13834" max="14074" width="11.3333333333333" style="190"/>
    <col min="14075" max="14075" width="10.1111111111111" style="190" customWidth="1"/>
    <col min="14076" max="14076" width="25.3333333333333" style="190" customWidth="1"/>
    <col min="14077" max="14077" width="39.6666666666667" style="190" customWidth="1"/>
    <col min="14078" max="14078" width="107.111111111111" style="190" customWidth="1"/>
    <col min="14079" max="14079" width="11.4444444444444" style="190" customWidth="1"/>
    <col min="14080" max="14080" width="17" style="190" customWidth="1"/>
    <col min="14081" max="14081" width="16.3333333333333" style="190" customWidth="1"/>
    <col min="14082" max="14082" width="16.4444444444444" style="190" customWidth="1"/>
    <col min="14083" max="14083" width="29" style="190" customWidth="1"/>
    <col min="14084" max="14084" width="20.3333333333333" style="190" customWidth="1"/>
    <col min="14085" max="14085" width="16.4444444444444" style="190" customWidth="1"/>
    <col min="14086" max="14086" width="13.3333333333333" style="190" customWidth="1"/>
    <col min="14087" max="14087" width="26.7777777777778" style="190" customWidth="1"/>
    <col min="14088" max="14088" width="14.1111111111111" style="190" customWidth="1"/>
    <col min="14089" max="14089" width="14.6666666666667" style="190" customWidth="1"/>
    <col min="14090" max="14330" width="11.3333333333333" style="190"/>
    <col min="14331" max="14331" width="10.1111111111111" style="190" customWidth="1"/>
    <col min="14332" max="14332" width="25.3333333333333" style="190" customWidth="1"/>
    <col min="14333" max="14333" width="39.6666666666667" style="190" customWidth="1"/>
    <col min="14334" max="14334" width="107.111111111111" style="190" customWidth="1"/>
    <col min="14335" max="14335" width="11.4444444444444" style="190" customWidth="1"/>
    <col min="14336" max="14336" width="17" style="190" customWidth="1"/>
    <col min="14337" max="14337" width="16.3333333333333" style="190" customWidth="1"/>
    <col min="14338" max="14338" width="16.4444444444444" style="190" customWidth="1"/>
    <col min="14339" max="14339" width="29" style="190" customWidth="1"/>
    <col min="14340" max="14340" width="20.3333333333333" style="190" customWidth="1"/>
    <col min="14341" max="14341" width="16.4444444444444" style="190" customWidth="1"/>
    <col min="14342" max="14342" width="13.3333333333333" style="190" customWidth="1"/>
    <col min="14343" max="14343" width="26.7777777777778" style="190" customWidth="1"/>
    <col min="14344" max="14344" width="14.1111111111111" style="190" customWidth="1"/>
    <col min="14345" max="14345" width="14.6666666666667" style="190" customWidth="1"/>
    <col min="14346" max="14586" width="11.3333333333333" style="190"/>
    <col min="14587" max="14587" width="10.1111111111111" style="190" customWidth="1"/>
    <col min="14588" max="14588" width="25.3333333333333" style="190" customWidth="1"/>
    <col min="14589" max="14589" width="39.6666666666667" style="190" customWidth="1"/>
    <col min="14590" max="14590" width="107.111111111111" style="190" customWidth="1"/>
    <col min="14591" max="14591" width="11.4444444444444" style="190" customWidth="1"/>
    <col min="14592" max="14592" width="17" style="190" customWidth="1"/>
    <col min="14593" max="14593" width="16.3333333333333" style="190" customWidth="1"/>
    <col min="14594" max="14594" width="16.4444444444444" style="190" customWidth="1"/>
    <col min="14595" max="14595" width="29" style="190" customWidth="1"/>
    <col min="14596" max="14596" width="20.3333333333333" style="190" customWidth="1"/>
    <col min="14597" max="14597" width="16.4444444444444" style="190" customWidth="1"/>
    <col min="14598" max="14598" width="13.3333333333333" style="190" customWidth="1"/>
    <col min="14599" max="14599" width="26.7777777777778" style="190" customWidth="1"/>
    <col min="14600" max="14600" width="14.1111111111111" style="190" customWidth="1"/>
    <col min="14601" max="14601" width="14.6666666666667" style="190" customWidth="1"/>
    <col min="14602" max="14842" width="11.3333333333333" style="190"/>
    <col min="14843" max="14843" width="10.1111111111111" style="190" customWidth="1"/>
    <col min="14844" max="14844" width="25.3333333333333" style="190" customWidth="1"/>
    <col min="14845" max="14845" width="39.6666666666667" style="190" customWidth="1"/>
    <col min="14846" max="14846" width="107.111111111111" style="190" customWidth="1"/>
    <col min="14847" max="14847" width="11.4444444444444" style="190" customWidth="1"/>
    <col min="14848" max="14848" width="17" style="190" customWidth="1"/>
    <col min="14849" max="14849" width="16.3333333333333" style="190" customWidth="1"/>
    <col min="14850" max="14850" width="16.4444444444444" style="190" customWidth="1"/>
    <col min="14851" max="14851" width="29" style="190" customWidth="1"/>
    <col min="14852" max="14852" width="20.3333333333333" style="190" customWidth="1"/>
    <col min="14853" max="14853" width="16.4444444444444" style="190" customWidth="1"/>
    <col min="14854" max="14854" width="13.3333333333333" style="190" customWidth="1"/>
    <col min="14855" max="14855" width="26.7777777777778" style="190" customWidth="1"/>
    <col min="14856" max="14856" width="14.1111111111111" style="190" customWidth="1"/>
    <col min="14857" max="14857" width="14.6666666666667" style="190" customWidth="1"/>
    <col min="14858" max="15098" width="11.3333333333333" style="190"/>
    <col min="15099" max="15099" width="10.1111111111111" style="190" customWidth="1"/>
    <col min="15100" max="15100" width="25.3333333333333" style="190" customWidth="1"/>
    <col min="15101" max="15101" width="39.6666666666667" style="190" customWidth="1"/>
    <col min="15102" max="15102" width="107.111111111111" style="190" customWidth="1"/>
    <col min="15103" max="15103" width="11.4444444444444" style="190" customWidth="1"/>
    <col min="15104" max="15104" width="17" style="190" customWidth="1"/>
    <col min="15105" max="15105" width="16.3333333333333" style="190" customWidth="1"/>
    <col min="15106" max="15106" width="16.4444444444444" style="190" customWidth="1"/>
    <col min="15107" max="15107" width="29" style="190" customWidth="1"/>
    <col min="15108" max="15108" width="20.3333333333333" style="190" customWidth="1"/>
    <col min="15109" max="15109" width="16.4444444444444" style="190" customWidth="1"/>
    <col min="15110" max="15110" width="13.3333333333333" style="190" customWidth="1"/>
    <col min="15111" max="15111" width="26.7777777777778" style="190" customWidth="1"/>
    <col min="15112" max="15112" width="14.1111111111111" style="190" customWidth="1"/>
    <col min="15113" max="15113" width="14.6666666666667" style="190" customWidth="1"/>
    <col min="15114" max="15354" width="11.3333333333333" style="190"/>
    <col min="15355" max="15355" width="10.1111111111111" style="190" customWidth="1"/>
    <col min="15356" max="15356" width="25.3333333333333" style="190" customWidth="1"/>
    <col min="15357" max="15357" width="39.6666666666667" style="190" customWidth="1"/>
    <col min="15358" max="15358" width="107.111111111111" style="190" customWidth="1"/>
    <col min="15359" max="15359" width="11.4444444444444" style="190" customWidth="1"/>
    <col min="15360" max="15360" width="17" style="190" customWidth="1"/>
    <col min="15361" max="15361" width="16.3333333333333" style="190" customWidth="1"/>
    <col min="15362" max="15362" width="16.4444444444444" style="190" customWidth="1"/>
    <col min="15363" max="15363" width="29" style="190" customWidth="1"/>
    <col min="15364" max="15364" width="20.3333333333333" style="190" customWidth="1"/>
    <col min="15365" max="15365" width="16.4444444444444" style="190" customWidth="1"/>
    <col min="15366" max="15366" width="13.3333333333333" style="190" customWidth="1"/>
    <col min="15367" max="15367" width="26.7777777777778" style="190" customWidth="1"/>
    <col min="15368" max="15368" width="14.1111111111111" style="190" customWidth="1"/>
    <col min="15369" max="15369" width="14.6666666666667" style="190" customWidth="1"/>
    <col min="15370" max="15610" width="11.3333333333333" style="190"/>
    <col min="15611" max="15611" width="10.1111111111111" style="190" customWidth="1"/>
    <col min="15612" max="15612" width="25.3333333333333" style="190" customWidth="1"/>
    <col min="15613" max="15613" width="39.6666666666667" style="190" customWidth="1"/>
    <col min="15614" max="15614" width="107.111111111111" style="190" customWidth="1"/>
    <col min="15615" max="15615" width="11.4444444444444" style="190" customWidth="1"/>
    <col min="15616" max="15616" width="17" style="190" customWidth="1"/>
    <col min="15617" max="15617" width="16.3333333333333" style="190" customWidth="1"/>
    <col min="15618" max="15618" width="16.4444444444444" style="190" customWidth="1"/>
    <col min="15619" max="15619" width="29" style="190" customWidth="1"/>
    <col min="15620" max="15620" width="20.3333333333333" style="190" customWidth="1"/>
    <col min="15621" max="15621" width="16.4444444444444" style="190" customWidth="1"/>
    <col min="15622" max="15622" width="13.3333333333333" style="190" customWidth="1"/>
    <col min="15623" max="15623" width="26.7777777777778" style="190" customWidth="1"/>
    <col min="15624" max="15624" width="14.1111111111111" style="190" customWidth="1"/>
    <col min="15625" max="15625" width="14.6666666666667" style="190" customWidth="1"/>
    <col min="15626" max="15866" width="11.3333333333333" style="190"/>
    <col min="15867" max="15867" width="10.1111111111111" style="190" customWidth="1"/>
    <col min="15868" max="15868" width="25.3333333333333" style="190" customWidth="1"/>
    <col min="15869" max="15869" width="39.6666666666667" style="190" customWidth="1"/>
    <col min="15870" max="15870" width="107.111111111111" style="190" customWidth="1"/>
    <col min="15871" max="15871" width="11.4444444444444" style="190" customWidth="1"/>
    <col min="15872" max="15872" width="17" style="190" customWidth="1"/>
    <col min="15873" max="15873" width="16.3333333333333" style="190" customWidth="1"/>
    <col min="15874" max="15874" width="16.4444444444444" style="190" customWidth="1"/>
    <col min="15875" max="15875" width="29" style="190" customWidth="1"/>
    <col min="15876" max="15876" width="20.3333333333333" style="190" customWidth="1"/>
    <col min="15877" max="15877" width="16.4444444444444" style="190" customWidth="1"/>
    <col min="15878" max="15878" width="13.3333333333333" style="190" customWidth="1"/>
    <col min="15879" max="15879" width="26.7777777777778" style="190" customWidth="1"/>
    <col min="15880" max="15880" width="14.1111111111111" style="190" customWidth="1"/>
    <col min="15881" max="15881" width="14.6666666666667" style="190" customWidth="1"/>
    <col min="15882" max="16122" width="11.3333333333333" style="190"/>
    <col min="16123" max="16123" width="10.1111111111111" style="190" customWidth="1"/>
    <col min="16124" max="16124" width="25.3333333333333" style="190" customWidth="1"/>
    <col min="16125" max="16125" width="39.6666666666667" style="190" customWidth="1"/>
    <col min="16126" max="16126" width="107.111111111111" style="190" customWidth="1"/>
    <col min="16127" max="16127" width="11.4444444444444" style="190" customWidth="1"/>
    <col min="16128" max="16128" width="17" style="190" customWidth="1"/>
    <col min="16129" max="16129" width="16.3333333333333" style="190" customWidth="1"/>
    <col min="16130" max="16130" width="16.4444444444444" style="190" customWidth="1"/>
    <col min="16131" max="16131" width="29" style="190" customWidth="1"/>
    <col min="16132" max="16132" width="20.3333333333333" style="190" customWidth="1"/>
    <col min="16133" max="16133" width="16.4444444444444" style="190" customWidth="1"/>
    <col min="16134" max="16134" width="13.3333333333333" style="190" customWidth="1"/>
    <col min="16135" max="16135" width="26.7777777777778" style="190" customWidth="1"/>
    <col min="16136" max="16136" width="14.1111111111111" style="190" customWidth="1"/>
    <col min="16137" max="16137" width="14.6666666666667" style="190" customWidth="1"/>
    <col min="16138" max="16384" width="11.3333333333333" style="190"/>
  </cols>
  <sheetData>
    <row r="2" ht="108" customHeight="1" spans="2:11">
      <c r="B2" s="193" t="s">
        <v>0</v>
      </c>
      <c r="C2" s="194"/>
      <c r="D2" s="194"/>
      <c r="E2" s="194"/>
      <c r="F2" s="194"/>
      <c r="G2" s="194"/>
      <c r="H2" s="194"/>
      <c r="I2" s="194"/>
      <c r="J2" s="194"/>
      <c r="K2" s="231"/>
    </row>
    <row r="3" ht="33" customHeight="1" spans="2:11">
      <c r="B3" s="195" t="s">
        <v>1</v>
      </c>
      <c r="C3" s="196"/>
      <c r="D3" s="196"/>
      <c r="E3" s="196"/>
      <c r="F3" s="196"/>
      <c r="G3" s="196"/>
      <c r="H3" s="196"/>
      <c r="I3" s="196"/>
      <c r="J3" s="196"/>
      <c r="K3" s="232"/>
    </row>
    <row r="4" ht="43.05" customHeight="1" spans="2:11">
      <c r="B4" s="197" t="s">
        <v>210</v>
      </c>
      <c r="C4" s="198"/>
      <c r="D4" s="198"/>
      <c r="E4" s="198"/>
      <c r="F4" s="198"/>
      <c r="G4" s="198"/>
      <c r="H4" s="198"/>
      <c r="I4" s="198"/>
      <c r="J4" s="198"/>
      <c r="K4" s="233"/>
    </row>
    <row r="5" ht="46.95" customHeight="1" spans="2:11">
      <c r="B5" s="13" t="s">
        <v>31</v>
      </c>
      <c r="C5" s="13"/>
      <c r="D5" s="177" t="s">
        <v>4</v>
      </c>
      <c r="E5" s="177"/>
      <c r="F5" s="177"/>
      <c r="G5" s="15"/>
      <c r="H5" s="199" t="s">
        <v>32</v>
      </c>
      <c r="I5" s="199"/>
      <c r="J5" s="199"/>
      <c r="K5" s="234"/>
    </row>
    <row r="6" s="189" customFormat="1" ht="34.05" customHeight="1" spans="2:11">
      <c r="B6" s="13" t="s">
        <v>33</v>
      </c>
      <c r="C6" s="13"/>
      <c r="D6" s="177" t="s">
        <v>6</v>
      </c>
      <c r="E6" s="177"/>
      <c r="F6" s="177"/>
      <c r="G6" s="15"/>
      <c r="H6" s="200" t="s">
        <v>34</v>
      </c>
      <c r="I6" s="200" t="s">
        <v>35</v>
      </c>
      <c r="J6" s="235">
        <v>0.2882</v>
      </c>
      <c r="K6" s="235"/>
    </row>
    <row r="7" s="189" customFormat="1" ht="34.05" customHeight="1" spans="2:11">
      <c r="B7" s="13" t="s">
        <v>36</v>
      </c>
      <c r="C7" s="13"/>
      <c r="D7" s="177" t="s">
        <v>37</v>
      </c>
      <c r="E7" s="177"/>
      <c r="F7" s="177"/>
      <c r="G7" s="15"/>
      <c r="H7" s="200" t="s">
        <v>38</v>
      </c>
      <c r="I7" s="236">
        <v>44927</v>
      </c>
      <c r="J7" s="236"/>
      <c r="K7" s="236"/>
    </row>
    <row r="8" ht="34.95" customHeight="1" spans="2:11">
      <c r="B8" s="201" t="s">
        <v>9</v>
      </c>
      <c r="C8" s="202" t="s">
        <v>39</v>
      </c>
      <c r="D8" s="202" t="s">
        <v>10</v>
      </c>
      <c r="E8" s="201" t="s">
        <v>40</v>
      </c>
      <c r="F8" s="201" t="s">
        <v>41</v>
      </c>
      <c r="G8" s="201"/>
      <c r="H8" s="203" t="s">
        <v>42</v>
      </c>
      <c r="I8" s="203"/>
      <c r="J8" s="203"/>
      <c r="K8" s="237" t="s">
        <v>211</v>
      </c>
    </row>
    <row r="9" ht="33" customHeight="1" spans="2:11">
      <c r="B9" s="201"/>
      <c r="C9" s="202"/>
      <c r="D9" s="202"/>
      <c r="E9" s="201"/>
      <c r="F9" s="201" t="s">
        <v>12</v>
      </c>
      <c r="G9" s="201" t="s">
        <v>43</v>
      </c>
      <c r="H9" s="204" t="s">
        <v>44</v>
      </c>
      <c r="I9" s="204" t="s">
        <v>45</v>
      </c>
      <c r="J9" s="203" t="s">
        <v>46</v>
      </c>
      <c r="K9" s="237"/>
    </row>
    <row r="10" ht="34.5" customHeight="1" spans="2:13">
      <c r="B10" s="205" t="str">
        <f>'Memória de Cálculo '!A248</f>
        <v>4.4</v>
      </c>
      <c r="C10" s="205" t="str">
        <f>'Memória de Cálculo '!B248</f>
        <v>COMPOSIÇÃO</v>
      </c>
      <c r="D10" s="205">
        <f>'Memória de Cálculo '!C248</f>
        <v>13</v>
      </c>
      <c r="E10" s="206" t="str">
        <f>'Memória de Cálculo '!D248</f>
        <v>TELHAMENTO COM TELHA ONDULADA DE FIBROCIMENTO E = 8 MM, COM RECOBRIMENTO LATERAL DE 1 1/4 DE ONDA PARA TELHADO COM INCLINAÇÃO MÁXIMA DE 10°, COM ATÉ 2 ÁGUAS, INCLUSO IÇAMENTO. AF_07/2019</v>
      </c>
      <c r="F10" s="205" t="str">
        <f>'Memória de Cálculo '!E248</f>
        <v>M²</v>
      </c>
      <c r="G10" s="207">
        <f>'Memória de Cálculo '!P254</f>
        <v>956.85</v>
      </c>
      <c r="H10" s="208">
        <f>COMPOSIÇÕES!G276</f>
        <v>73</v>
      </c>
      <c r="I10" s="208">
        <f>TRUNC(H10+H10*$J$6,2)</f>
        <v>94.03</v>
      </c>
      <c r="J10" s="208">
        <f>TRUNC(G10*I10,2)</f>
        <v>89972.6</v>
      </c>
      <c r="K10" s="238">
        <f>J10/$J$59</f>
        <v>0.253401857539379</v>
      </c>
      <c r="M10" s="239"/>
    </row>
    <row r="11" ht="34.5" customHeight="1" spans="2:13">
      <c r="B11" s="209" t="str">
        <f>'Memória de Cálculo '!A361</f>
        <v>8.2</v>
      </c>
      <c r="C11" s="209" t="str">
        <f>'Memória de Cálculo '!B361</f>
        <v>COMPOSIÇÃO</v>
      </c>
      <c r="D11" s="209">
        <f>'Memória de Cálculo '!C361</f>
        <v>9</v>
      </c>
      <c r="E11" s="14" t="str">
        <f>'Memória de Cálculo '!D361</f>
        <v>PINTURA A BASE DE EMULSAO ACRILICA, EM TETO, DUAS DEMAOS, INCLUSIVE LIQUIDO SELADOR UMA DEMAO, E DUAS DEMAOS DE MASSA ACRILICA.</v>
      </c>
      <c r="F11" s="209" t="str">
        <f>'Memória de Cálculo '!E361</f>
        <v>M²</v>
      </c>
      <c r="G11" s="210">
        <f>'Memória de Cálculo '!P369</f>
        <v>881.45</v>
      </c>
      <c r="H11" s="211">
        <f>COMPOSIÇÕES!G197</f>
        <v>37.92</v>
      </c>
      <c r="I11" s="208">
        <f>TRUNC(H11+H11*$J$6,2)</f>
        <v>48.84</v>
      </c>
      <c r="J11" s="208">
        <f>TRUNC(G11*I11,2)</f>
        <v>43050.01</v>
      </c>
      <c r="K11" s="238">
        <f>J11/$J$59</f>
        <v>0.121247496472135</v>
      </c>
      <c r="M11" s="239"/>
    </row>
    <row r="12" ht="34.5" customHeight="1" spans="2:13">
      <c r="B12" s="212" t="str">
        <f>'Memória de Cálculo '!A331</f>
        <v>6.2</v>
      </c>
      <c r="C12" s="212" t="str">
        <f>'Memória de Cálculo '!B331</f>
        <v>SINAPI -PE JAN/23</v>
      </c>
      <c r="D12" s="205">
        <f>'Memória de Cálculo '!C331</f>
        <v>90407</v>
      </c>
      <c r="E12" s="213" t="str">
        <f>'Memória de Cálculo '!D331</f>
        <v>MASSA ÚNICA, PARA RECEBIMENTO DE PINTURA, EM ARGAMASSA TRAÇO 1:2:8, PREPARO MANUAL, APLICADA MANUALMENTE EM TETO, ESPESSURA DE 20MM, COM EXECUÇÃO DE TALISCAS. AF_03/2015</v>
      </c>
      <c r="F12" s="212" t="str">
        <f>'Memória de Cálculo '!E331</f>
        <v>M²</v>
      </c>
      <c r="G12" s="207">
        <f>'Memória de Cálculo '!P339</f>
        <v>516.03</v>
      </c>
      <c r="H12" s="208">
        <v>50.55</v>
      </c>
      <c r="I12" s="208">
        <f>TRUNC(H12+H12*$J$6,2)</f>
        <v>65.11</v>
      </c>
      <c r="J12" s="208">
        <f>TRUNC(G12*I12,2)</f>
        <v>33598.71</v>
      </c>
      <c r="K12" s="238">
        <f>J12/$J$59</f>
        <v>0.0946285371871759</v>
      </c>
      <c r="M12" s="239"/>
    </row>
    <row r="13" ht="34.5" customHeight="1" spans="2:13">
      <c r="B13" s="205" t="str">
        <f>'Memória de Cálculo '!A234</f>
        <v>4.2</v>
      </c>
      <c r="C13" s="205" t="str">
        <f>'Memória de Cálculo '!B234</f>
        <v>SINAPI -PE JAN/23</v>
      </c>
      <c r="D13" s="205">
        <f>'Memória de Cálculo '!C234</f>
        <v>92543</v>
      </c>
      <c r="E13" s="206" t="str">
        <f>'Memória de Cálculo '!D234</f>
        <v>TRAMA DE MADEIRA COMPOSTA POR TERÇAS PARA TELHADOS DE ATÉ 2 ÁGUAS PARA TELHA ONDULADA DE FIBROCIMENTO, METÁLICA, PLÁSTICA OU TERMOACÚSTICA, INCLUSO TRANSPORTE VERTICAL. AF_07/2019</v>
      </c>
      <c r="F13" s="205" t="str">
        <f>'Memória de Cálculo '!E234</f>
        <v>M²</v>
      </c>
      <c r="G13" s="207">
        <f>'Memória de Cálculo '!P240</f>
        <v>956.85</v>
      </c>
      <c r="H13" s="208">
        <v>25.55</v>
      </c>
      <c r="I13" s="208">
        <f>TRUNC(H13+H13*$J$6,2)</f>
        <v>32.91</v>
      </c>
      <c r="J13" s="208">
        <f>TRUNC(G13*I13,2)</f>
        <v>31489.93</v>
      </c>
      <c r="K13" s="238">
        <f>J13/$J$59</f>
        <v>0.0886892982506342</v>
      </c>
      <c r="M13" s="239"/>
    </row>
    <row r="14" ht="34.5" customHeight="1" spans="2:13">
      <c r="B14" s="214" t="str">
        <f>'Memória de Cálculo '!A351</f>
        <v>8.1</v>
      </c>
      <c r="C14" s="212" t="str">
        <f>'Memória de Cálculo '!B351</f>
        <v>SINAPI -PE JAN/23</v>
      </c>
      <c r="D14" s="209">
        <f>'Memória de Cálculo '!C351</f>
        <v>88496</v>
      </c>
      <c r="E14" s="215" t="str">
        <f>'Memória de Cálculo '!D351</f>
        <v>APLICAÇÃO E LIXAMENTO DE MASSA LÁTEX EM TETO, DUAS DEMÃOS. AF_06/2014</v>
      </c>
      <c r="F14" s="214" t="str">
        <f>'Memória de Cálculo '!E351</f>
        <v>M²</v>
      </c>
      <c r="G14" s="210">
        <f>'Memória de Cálculo '!P359</f>
        <v>589.3</v>
      </c>
      <c r="H14" s="211">
        <v>24.36</v>
      </c>
      <c r="I14" s="208">
        <f>TRUNC(H14+H14*$J$6,2)</f>
        <v>31.38</v>
      </c>
      <c r="J14" s="208">
        <f>TRUNC(G14*I14,2)</f>
        <v>18492.23</v>
      </c>
      <c r="K14" s="238">
        <f>J14/$J$59</f>
        <v>0.0520821386960633</v>
      </c>
      <c r="L14" s="240"/>
      <c r="M14" s="241"/>
    </row>
    <row r="15" ht="34.5" customHeight="1" spans="2:11">
      <c r="B15" s="205" t="str">
        <f>'Memória de Cálculo '!A256</f>
        <v>4.5</v>
      </c>
      <c r="C15" s="205" t="str">
        <f>'Memória de Cálculo '!B256</f>
        <v>SINAPI -PE JAN/23</v>
      </c>
      <c r="D15" s="205">
        <f>'Memória de Cálculo '!C256</f>
        <v>94451</v>
      </c>
      <c r="E15" s="206" t="str">
        <f>'Memória de Cálculo '!D256</f>
        <v>CUMEEIRA PARA TELHA DE FIBROCIMENTO ESTRUTURAL E = 6 MM, INCLUSO ACESSÓRIOS DE FIXAÇÃO E IÇAMENTO. AF_07/2019</v>
      </c>
      <c r="F15" s="205" t="str">
        <f>'Memória de Cálculo '!E256</f>
        <v>M</v>
      </c>
      <c r="G15" s="207">
        <f>'Memória de Cálculo '!P263</f>
        <v>134.35</v>
      </c>
      <c r="H15" s="208">
        <v>102</v>
      </c>
      <c r="I15" s="208">
        <f>TRUNC(H15+H15*$J$6,2)</f>
        <v>131.39</v>
      </c>
      <c r="J15" s="208">
        <f>TRUNC(G15*I15,2)</f>
        <v>17652.24</v>
      </c>
      <c r="K15" s="238">
        <f>J15/$J$59</f>
        <v>0.0497163626007354</v>
      </c>
    </row>
    <row r="16" ht="47.25" spans="2:11">
      <c r="B16" s="205" t="str">
        <f>'Memória de Cálculo '!A224</f>
        <v>4.1</v>
      </c>
      <c r="C16" s="205" t="str">
        <f>'Memória de Cálculo '!B224</f>
        <v>COMPOSIÇÃO</v>
      </c>
      <c r="D16" s="205">
        <f>'Memória de Cálculo '!C224</f>
        <v>7</v>
      </c>
      <c r="E16" s="206" t="str">
        <f>'Memória de Cálculo '!D224</f>
        <v>ALVENARIA DE TIJOLOS MACIÇOS PRENSADOS PARA PILARETES DE SUSTENTAÇÃO DO MADEIRAMENTO DA COBERTA, ASSENTADOS E REJUNTADOS COM ARGAMASSA DE CIMENTO E AREIA NO TRAÇO 1:6 - 1 VEZ.</v>
      </c>
      <c r="F16" s="205" t="str">
        <f>'Memória de Cálculo '!E224</f>
        <v>M³</v>
      </c>
      <c r="G16" s="207">
        <f>'Memória de Cálculo '!P232</f>
        <v>14.7</v>
      </c>
      <c r="H16" s="208">
        <f>COMPOSIÇÕES!G142</f>
        <v>738.1</v>
      </c>
      <c r="I16" s="208">
        <f>TRUNC(H16+H16*$J$6,2)</f>
        <v>950.82</v>
      </c>
      <c r="J16" s="208">
        <f>TRUNC(G16*I16,2)</f>
        <v>13977.05</v>
      </c>
      <c r="K16" s="238">
        <f>J16/$J$59</f>
        <v>0.0393654338423117</v>
      </c>
    </row>
    <row r="17" ht="43.05" customHeight="1" spans="2:11">
      <c r="B17" s="205">
        <f>'[1]Memória Quantitativos'!B13</f>
        <v>1.1</v>
      </c>
      <c r="C17" s="212" t="str">
        <f>'Memória de Cálculo '!B12</f>
        <v>SINAPI -PE JAN/23</v>
      </c>
      <c r="D17" s="205">
        <f>'Memória de Cálculo '!C12</f>
        <v>90777</v>
      </c>
      <c r="E17" s="213" t="str">
        <f>'Memória de Cálculo '!D12</f>
        <v>ENGENHEIRO CIVIL DE OBRA JUNIOR COM ENCARGOS COMPLEMENTARES</v>
      </c>
      <c r="F17" s="212" t="str">
        <f>'Memória de Cálculo '!E12</f>
        <v>H</v>
      </c>
      <c r="G17" s="207">
        <f>'Memória de Cálculo '!P14</f>
        <v>90</v>
      </c>
      <c r="H17" s="208">
        <v>96.35</v>
      </c>
      <c r="I17" s="208">
        <f>TRUNC(H17+H17*$J$6,2)</f>
        <v>124.11</v>
      </c>
      <c r="J17" s="208">
        <f>TRUNC(G17*I17,2)</f>
        <v>11169.9</v>
      </c>
      <c r="K17" s="238">
        <f>J17/$J$59</f>
        <v>0.0314592821428869</v>
      </c>
    </row>
    <row r="18" ht="34.2" customHeight="1" spans="2:11">
      <c r="B18" s="212" t="str">
        <f>'Memória de Cálculo '!A297</f>
        <v>5.1</v>
      </c>
      <c r="C18" s="212" t="str">
        <f>'Memória de Cálculo '!B297</f>
        <v>SINAPI -PE JAN/23</v>
      </c>
      <c r="D18" s="205">
        <f>'Memória de Cálculo '!C297</f>
        <v>98556</v>
      </c>
      <c r="E18" s="213" t="str">
        <f>'Memória de Cálculo '!D297</f>
        <v>IMPERMEABILIZAÇÃO DE SUPERFÍCIE COM ARGAMASSA POLIMÉRICA / MEMBRANA ACRÍLICA, 4 DEMÃOS, REFORÇADA COM VÉU DE POLIÉSTER (MAV). AF_06/2018</v>
      </c>
      <c r="F18" s="212" t="str">
        <f>'Memória de Cálculo '!E297</f>
        <v>M²</v>
      </c>
      <c r="G18" s="207">
        <f>'Memória de Cálculo '!P306</f>
        <v>166.18</v>
      </c>
      <c r="H18" s="208">
        <v>50.55</v>
      </c>
      <c r="I18" s="208">
        <f>TRUNC(H18+H18*$J$6,2)</f>
        <v>65.11</v>
      </c>
      <c r="J18" s="208">
        <f>TRUNC(G18*I18,2)</f>
        <v>10819.97</v>
      </c>
      <c r="K18" s="238">
        <f>J18/$J$59</f>
        <v>0.0304737275183817</v>
      </c>
    </row>
    <row r="19" ht="40" customHeight="1" spans="2:11">
      <c r="B19" s="205" t="str">
        <f>'Memória de Cálculo '!A74</f>
        <v>3.7</v>
      </c>
      <c r="C19" s="205" t="str">
        <f>'Memória de Cálculo '!B74</f>
        <v>COMPOSIÇÃO</v>
      </c>
      <c r="D19" s="205">
        <f>'Memória de Cálculo '!C74</f>
        <v>4</v>
      </c>
      <c r="E19" s="206" t="str">
        <f>'Memória de Cálculo '!D74</f>
        <v>REMOÇÃO DE TRAMA DE MADEIRA PARA COBERTURA, DE FORMA MANUAL, SEM REAPROVEITAMENTO. AF_12/2017</v>
      </c>
      <c r="F19" s="205" t="str">
        <f>'Memória de Cálculo '!E74</f>
        <v>M²</v>
      </c>
      <c r="G19" s="207">
        <f>'Memória de Cálculo '!P80</f>
        <v>955.41</v>
      </c>
      <c r="H19" s="208">
        <f>COMPOSIÇÕES!G72</f>
        <v>8.6</v>
      </c>
      <c r="I19" s="208">
        <f>TRUNC(H19+H19*$J$6,2)</f>
        <v>11.07</v>
      </c>
      <c r="J19" s="208">
        <f>TRUNC(G19*I19,2)</f>
        <v>10576.38</v>
      </c>
      <c r="K19" s="238">
        <f>J19/$J$59</f>
        <v>0.0297876724474155</v>
      </c>
    </row>
    <row r="20" ht="39" customHeight="1" spans="2:11">
      <c r="B20" s="205" t="str">
        <f>'Memória de Cálculo '!A285</f>
        <v>4.8</v>
      </c>
      <c r="C20" s="205" t="str">
        <f>'Memória de Cálculo '!B285</f>
        <v>SINAPI -PE JAN/23</v>
      </c>
      <c r="D20" s="205">
        <f>'Memória de Cálculo '!C285</f>
        <v>94231</v>
      </c>
      <c r="E20" s="206" t="str">
        <f>'Memória de Cálculo '!D285</f>
        <v>RUFO EM CHAPA DE AÇO GALVANIZADO NÚMERO 24, CORTE DE 25 CM, INCLUSO TRANSPORTE VERTICAL. AF_07/2019</v>
      </c>
      <c r="F20" s="205" t="str">
        <f>'Memória de Cálculo '!E285</f>
        <v>M</v>
      </c>
      <c r="G20" s="207">
        <f>'Memória de Cálculo '!P293</f>
        <v>159.04</v>
      </c>
      <c r="H20" s="208">
        <v>50.79</v>
      </c>
      <c r="I20" s="208">
        <f>TRUNC(H20+H20*$J$6,2)</f>
        <v>65.42</v>
      </c>
      <c r="J20" s="208">
        <f>TRUNC(G20*I20,2)</f>
        <v>10404.39</v>
      </c>
      <c r="K20" s="238">
        <f>J20/$J$59</f>
        <v>0.0293032740252492</v>
      </c>
    </row>
    <row r="21" ht="34.2" customHeight="1" spans="2:11">
      <c r="B21" s="209" t="str">
        <f>'Memória de Cálculo '!A486</f>
        <v>10.11</v>
      </c>
      <c r="C21" s="212" t="str">
        <f>'Memória de Cálculo '!B486</f>
        <v>SINAPI -PE JAN/23</v>
      </c>
      <c r="D21" s="209">
        <f>'Memória de Cálculo '!C486</f>
        <v>92337</v>
      </c>
      <c r="E21" s="14" t="str">
        <f>'Memória de Cálculo '!D486</f>
        <v>TUBO DE AÇO GALVANIZADO COM COSTURA, CLASSE MÉDIA, CONEXÃO RANHURADA, DN 80 (3"), INSTALADO EM PRUMADAS - FORNECIMENTO E INSTALAÇÃO. AF_10/2020</v>
      </c>
      <c r="F21" s="209" t="str">
        <f>'Memória de Cálculo '!E486</f>
        <v>M</v>
      </c>
      <c r="G21" s="210">
        <f>'Memória de Cálculo '!P491</f>
        <v>50</v>
      </c>
      <c r="H21" s="210">
        <v>139.73</v>
      </c>
      <c r="I21" s="208">
        <f>TRUNC(H21+H21*$J$6,2)</f>
        <v>180</v>
      </c>
      <c r="J21" s="208">
        <f>TRUNC(G21*I21,2)</f>
        <v>9000</v>
      </c>
      <c r="K21" s="238">
        <f>J21/$J$59</f>
        <v>0.0253479027821182</v>
      </c>
    </row>
    <row r="22" ht="34.2" customHeight="1" spans="2:11">
      <c r="B22" s="212" t="str">
        <f>'Memória de Cálculo '!A32</f>
        <v>3.2</v>
      </c>
      <c r="C22" s="212" t="str">
        <f>'Memória de Cálculo '!B32</f>
        <v>COMPOSIÇÃO</v>
      </c>
      <c r="D22" s="205">
        <f>'Memória de Cálculo '!C32</f>
        <v>2</v>
      </c>
      <c r="E22" s="213" t="str">
        <f>'Memória de Cálculo '!D32</f>
        <v>DEMOLIÇÃO DE REBOCO ANTIGO</v>
      </c>
      <c r="F22" s="212" t="str">
        <f>'Memória de Cálculo '!E32</f>
        <v>M²</v>
      </c>
      <c r="G22" s="205">
        <f>'Memória de Cálculo '!P40</f>
        <v>516.03</v>
      </c>
      <c r="H22" s="216">
        <f>COMPOSIÇÕES!G40</f>
        <v>11.29</v>
      </c>
      <c r="I22" s="208">
        <f>TRUNC(H22+H22*$J$6,2)</f>
        <v>14.54</v>
      </c>
      <c r="J22" s="208">
        <f>TRUNC(G22*I22,2)</f>
        <v>7503.07</v>
      </c>
      <c r="K22" s="238">
        <f>J22/$J$59</f>
        <v>0.0211318987697142</v>
      </c>
    </row>
    <row r="23" ht="34.2" customHeight="1" spans="2:11">
      <c r="B23" s="205" t="str">
        <f>'Memória de Cálculo '!A265</f>
        <v>4.6</v>
      </c>
      <c r="C23" s="205" t="str">
        <f>'Memória de Cálculo '!B265</f>
        <v>COMPOSIÇÃO</v>
      </c>
      <c r="D23" s="205">
        <f>'Memória de Cálculo '!C265</f>
        <v>8</v>
      </c>
      <c r="E23" s="206" t="str">
        <f>'Memória de Cálculo '!D265</f>
        <v>CALHA DE TIJOLOS MACIÇOS PRENSADOS PARA CONFECÇÃO DE PAREDE DE CALHA, ASSENTADOS E REJUNTADOS COM ARGAMASSA DE CIMENTO E AREIA NO TRAÇO 1:2:8 - 1 VEZ, CHAPISCAOS E REBOCADOS</v>
      </c>
      <c r="F23" s="205" t="str">
        <f>'Memória de Cálculo '!E265</f>
        <v>M²</v>
      </c>
      <c r="G23" s="207">
        <f>'Memória de Cálculo '!P272</f>
        <v>29.74</v>
      </c>
      <c r="H23" s="208">
        <f>COMPOSIÇÕES!G177</f>
        <v>154.91</v>
      </c>
      <c r="I23" s="208">
        <f>TRUNC(H23+H23*$J$6,2)</f>
        <v>199.55</v>
      </c>
      <c r="J23" s="208">
        <f>TRUNC(G23*I23,2)</f>
        <v>5934.61</v>
      </c>
      <c r="K23" s="238">
        <f>J23/$J$59</f>
        <v>0.0167144352588652</v>
      </c>
    </row>
    <row r="24" ht="47" customHeight="1" spans="2:11">
      <c r="B24" s="212" t="str">
        <f>'Memória de Cálculo '!A66</f>
        <v>3.6</v>
      </c>
      <c r="C24" s="212" t="str">
        <f>'Memória de Cálculo '!B66</f>
        <v>SINAPI -PE JAN/23</v>
      </c>
      <c r="D24" s="205">
        <f>'Memória de Cálculo '!C66</f>
        <v>97649</v>
      </c>
      <c r="E24" s="213" t="str">
        <f>'Memória de Cálculo '!D66</f>
        <v>REMOÇÃO DE TELHAS DE FIBROCIMENTO, METÁLICA E CERÂMICA, DE FORMA MECANIZADA, COM USO DE GUINDASTE, SEM REAPROVEITAMENTO. AF_12/2017</v>
      </c>
      <c r="F24" s="212" t="str">
        <f>'Memória de Cálculo '!E66</f>
        <v>M²</v>
      </c>
      <c r="G24" s="207">
        <f>'Memória de Cálculo '!P72</f>
        <v>955.41</v>
      </c>
      <c r="H24" s="208">
        <v>3.71</v>
      </c>
      <c r="I24" s="208">
        <f>TRUNC(H24+H24*$J$6,2)</f>
        <v>4.77</v>
      </c>
      <c r="J24" s="208">
        <f>TRUNC(G24*I24,2)</f>
        <v>4557.3</v>
      </c>
      <c r="K24" s="238">
        <f>J24/$J$59</f>
        <v>0.0128353330387719</v>
      </c>
    </row>
    <row r="25" ht="53" customHeight="1" spans="2:11">
      <c r="B25" s="205" t="str">
        <f>'Memória de Cálculo '!A108</f>
        <v>3.11</v>
      </c>
      <c r="C25" s="205" t="str">
        <f>'Memória de Cálculo '!B108</f>
        <v>SINAPI -PE JAN/23</v>
      </c>
      <c r="D25" s="205">
        <f>'Memória de Cálculo '!C108</f>
        <v>100983</v>
      </c>
      <c r="E25" s="206" t="str">
        <f>'Memória de Cálculo '!D108</f>
        <v>CARGA, MANOBRA E DESCARGA</v>
      </c>
      <c r="F25" s="205" t="str">
        <f>'Memória de Cálculo '!E108</f>
        <v>M³</v>
      </c>
      <c r="G25" s="207">
        <f>'Memória de Cálculo '!P163</f>
        <v>362.048088914756</v>
      </c>
      <c r="H25" s="208">
        <v>8.76</v>
      </c>
      <c r="I25" s="208">
        <f>TRUNC(H25+H25*$J$6,2)</f>
        <v>11.28</v>
      </c>
      <c r="J25" s="208">
        <f>TRUNC(G25*I25,2)</f>
        <v>4083.9</v>
      </c>
      <c r="K25" s="238">
        <f>J25/$J$59</f>
        <v>0.0115020333524325</v>
      </c>
    </row>
    <row r="26" ht="52" customHeight="1" spans="2:11">
      <c r="B26" s="212" t="str">
        <f>'Memória de Cálculo '!A165</f>
        <v>3.12</v>
      </c>
      <c r="C26" s="212" t="str">
        <f>'Memória de Cálculo '!B165</f>
        <v>SINAPI -PE JAN/23</v>
      </c>
      <c r="D26" s="205">
        <f>'Memória de Cálculo '!C165</f>
        <v>95876</v>
      </c>
      <c r="E26" s="213" t="str">
        <f>'Memória de Cálculo '!D165</f>
        <v>TRANSPORTE COM CAMINHÃO BASCULANTE DE 14 M³, EM VIA URBANA PAVIMENTADA, DMT ATÉ 30 KM (UNIDADE: M3XKM). AF_07/2020</v>
      </c>
      <c r="F26" s="212" t="str">
        <f>'Memória de Cálculo '!E165</f>
        <v>M³xKM</v>
      </c>
      <c r="G26" s="207">
        <f>'Memória de Cálculo '!P220</f>
        <v>1448.19235565902</v>
      </c>
      <c r="H26" s="208">
        <v>2.08</v>
      </c>
      <c r="I26" s="208">
        <f>TRUNC(H26+H26*$J$6,2)</f>
        <v>2.67</v>
      </c>
      <c r="J26" s="208">
        <f>TRUNC(G26*I26,2)</f>
        <v>3866.67</v>
      </c>
      <c r="K26" s="238">
        <f>J26/$J$59</f>
        <v>0.0108902194722815</v>
      </c>
    </row>
    <row r="27" ht="31.5" spans="2:11">
      <c r="B27" s="212" t="str">
        <f>'Memória de Cálculo '!A343</f>
        <v>7.1</v>
      </c>
      <c r="C27" s="212" t="str">
        <f>'Memória de Cálculo '!B343</f>
        <v>COMPOSIÇÃO</v>
      </c>
      <c r="D27" s="217">
        <f>'Memória de Cálculo '!C343</f>
        <v>6</v>
      </c>
      <c r="E27" s="213" t="str">
        <f>'Memória de Cálculo '!D343</f>
        <v>ESQUADRIA DE MADEIRA COM GRADE E FOLHA EM MADEIRA DE LEI PARA PORTAS EXTERNAS INCLUSIVE ASSENTAMENTO E FERRAGENS.</v>
      </c>
      <c r="F27" s="212" t="str">
        <f>'Memória de Cálculo '!E343</f>
        <v>UND</v>
      </c>
      <c r="G27" s="207">
        <f>'Memória de Cálculo '!P348</f>
        <v>3</v>
      </c>
      <c r="H27" s="208">
        <f>COMPOSIÇÕES!G124</f>
        <v>855.13</v>
      </c>
      <c r="I27" s="208">
        <f>TRUNC(H27+H27*$J$6,2)</f>
        <v>1101.57</v>
      </c>
      <c r="J27" s="208">
        <f>TRUNC(G27*I27,2)</f>
        <v>3304.71</v>
      </c>
      <c r="K27" s="238">
        <f>J27/$J$59</f>
        <v>0.00930749642256599</v>
      </c>
    </row>
    <row r="28" ht="57" customHeight="1" spans="2:11">
      <c r="B28" s="212" t="str">
        <f>'Memória de Cálculo '!A17</f>
        <v>2.1</v>
      </c>
      <c r="C28" s="212" t="str">
        <f>'Memória de Cálculo '!B17</f>
        <v>COMPOSIÇÃO</v>
      </c>
      <c r="D28" s="205">
        <f>'Memória de Cálculo '!C17</f>
        <v>12</v>
      </c>
      <c r="E28" s="213" t="str">
        <f>'Memória de Cálculo '!D17</f>
        <v>PLACA DE OBRA DE OBRA</v>
      </c>
      <c r="F28" s="212" t="str">
        <f>'Memória de Cálculo '!E17</f>
        <v>M²</v>
      </c>
      <c r="G28" s="207">
        <f>'Memória de Cálculo '!P19</f>
        <v>6</v>
      </c>
      <c r="H28" s="208">
        <f>COMPOSIÇÕES!G255</f>
        <v>414</v>
      </c>
      <c r="I28" s="208">
        <f>TRUNC(H28+H28*$J$6,2)</f>
        <v>533.31</v>
      </c>
      <c r="J28" s="208">
        <f>TRUNC(G28*I28,2)</f>
        <v>3199.86</v>
      </c>
      <c r="K28" s="238">
        <f>J28/$J$59</f>
        <v>0.00901219335515431</v>
      </c>
    </row>
    <row r="29" ht="37" customHeight="1" spans="2:11">
      <c r="B29" s="214" t="str">
        <f>'Memória de Cálculo '!A418</f>
        <v>10.2</v>
      </c>
      <c r="C29" s="212" t="str">
        <f>'Memória de Cálculo '!B418</f>
        <v>SINAPI -PE JAN/23</v>
      </c>
      <c r="D29" s="209">
        <f>'Memória de Cálculo '!C418</f>
        <v>89449</v>
      </c>
      <c r="E29" s="218" t="str">
        <f>'Memória de Cálculo '!D418</f>
        <v>TUBO, PVC, SOLDÁVEL, DN 50MM, INSTALADO EM PRUMADA DE ÁGUA - FORNECIMENTO E INSTALAÇÃO. AF_06/2022</v>
      </c>
      <c r="F29" s="214" t="str">
        <f>'Memória de Cálculo '!E418</f>
        <v>M</v>
      </c>
      <c r="G29" s="210">
        <f>'Memória de Cálculo '!P423</f>
        <v>118.5</v>
      </c>
      <c r="H29" s="210">
        <v>19.48</v>
      </c>
      <c r="I29" s="208">
        <f>TRUNC(H29+H29*$J$6,2)</f>
        <v>25.09</v>
      </c>
      <c r="J29" s="208">
        <f>TRUNC(G29*I29,2)</f>
        <v>2973.16</v>
      </c>
      <c r="K29" s="238">
        <f>J29/$J$59</f>
        <v>0.00837370784840918</v>
      </c>
    </row>
    <row r="30" ht="52" customHeight="1" spans="2:11">
      <c r="B30" s="205" t="str">
        <f>'Memória de Cálculo '!A321</f>
        <v>6.1</v>
      </c>
      <c r="C30" s="205" t="str">
        <f>'Memória de Cálculo '!B321</f>
        <v>SINAPI -PE JAN/23</v>
      </c>
      <c r="D30" s="205">
        <f>'Memória de Cálculo '!C321</f>
        <v>87879</v>
      </c>
      <c r="E30" s="206" t="str">
        <f>'Memória de Cálculo '!D321</f>
        <v>CHAPISCO APLICADO EM ALVENARIAS E ESTRUTURAS DE CONCRETO INTERNAS, COM COLHER DE PEDREIRO. ARGAMASSA TRAÇO 1:3 COM PREPARO EM BETONEIRA 400 L. AF_10/20228</v>
      </c>
      <c r="F30" s="205" t="str">
        <f>'Memória de Cálculo '!E321</f>
        <v>M²</v>
      </c>
      <c r="G30" s="207">
        <f>'Memória de Cálculo '!P329</f>
        <v>516.03</v>
      </c>
      <c r="H30" s="208">
        <v>3.97</v>
      </c>
      <c r="I30" s="208">
        <f>TRUNC(H30+H30*$J$6,2)</f>
        <v>5.11</v>
      </c>
      <c r="J30" s="208">
        <f>TRUNC(G30*I30,2)</f>
        <v>2636.91</v>
      </c>
      <c r="K30" s="238">
        <f>J30/$J$59</f>
        <v>0.00742668203613282</v>
      </c>
    </row>
    <row r="31" ht="39" customHeight="1" spans="2:11">
      <c r="B31" s="209" t="str">
        <f>'Memória de Cálculo '!A371</f>
        <v>8.3</v>
      </c>
      <c r="C31" s="212" t="str">
        <f>'Memória de Cálculo '!B371</f>
        <v>SINAPI -PE JAN/23</v>
      </c>
      <c r="D31" s="209">
        <f>'Memória de Cálculo '!C371</f>
        <v>88489</v>
      </c>
      <c r="E31" s="14" t="str">
        <f>'Memória de Cálculo '!D371</f>
        <v>APLICAÇÃO MANUAL DE PINTURA COM TINTA LÁTEX ACRÍLICA EM PAREDES, DUAS DEMÃOS. AF_06/2014</v>
      </c>
      <c r="F31" s="209" t="str">
        <f>'Memória de Cálculo '!E371</f>
        <v>M²</v>
      </c>
      <c r="G31" s="210">
        <f>'Memória de Cálculo '!P377</f>
        <v>129.14</v>
      </c>
      <c r="H31" s="211">
        <v>14.51</v>
      </c>
      <c r="I31" s="208">
        <f>TRUNC(H31+H31*$J$6,2)</f>
        <v>18.69</v>
      </c>
      <c r="J31" s="208">
        <f>TRUNC(G31*I31,2)</f>
        <v>2413.62</v>
      </c>
      <c r="K31" s="238">
        <f>J31/$J$59</f>
        <v>0.00679780056810846</v>
      </c>
    </row>
    <row r="32" ht="40" customHeight="1" spans="2:11">
      <c r="B32" s="214" t="str">
        <f>'Memória de Cálculo '!A493</f>
        <v>10.12</v>
      </c>
      <c r="C32" s="212" t="str">
        <f>'Memória de Cálculo '!B493</f>
        <v>SINAPI -PE JAN/23</v>
      </c>
      <c r="D32" s="209">
        <f>'Memória de Cálculo '!C493</f>
        <v>101929</v>
      </c>
      <c r="E32" s="218" t="str">
        <f>'Memória de Cálculo '!D493</f>
        <v>LUVA, EM FERRO GALVANIZADO, 4", CONEXÃO ROSQUEADA, INSTALADO EM REDE DE ALIMENTAÇÃO PARA HIDRANTE - FORNECIMENTO E INSTALAÇÃO. AF_10/2020</v>
      </c>
      <c r="F32" s="214" t="str">
        <f>'Memória de Cálculo '!E493</f>
        <v>UND</v>
      </c>
      <c r="G32" s="210">
        <f>'Memória de Cálculo '!P498</f>
        <v>9</v>
      </c>
      <c r="H32" s="210">
        <v>198.72</v>
      </c>
      <c r="I32" s="208">
        <f>TRUNC(H32+H32*$J$6,2)</f>
        <v>255.99</v>
      </c>
      <c r="J32" s="208">
        <f>TRUNC(G32*I32,2)</f>
        <v>2303.91</v>
      </c>
      <c r="K32" s="238">
        <f>J32/$J$59</f>
        <v>0.00648880963319444</v>
      </c>
    </row>
    <row r="33" ht="47" customHeight="1" spans="2:11">
      <c r="B33" s="209" t="str">
        <f>'Memória de Cálculo '!A397</f>
        <v>9.1</v>
      </c>
      <c r="C33" s="212" t="str">
        <f>'Memória de Cálculo '!B397</f>
        <v>SINAPI -PE JAN/23</v>
      </c>
      <c r="D33" s="209">
        <f>'Memória de Cálculo '!C397</f>
        <v>89578</v>
      </c>
      <c r="E33" s="14" t="str">
        <f>'Memória de Cálculo '!D397</f>
        <v>TUBO PVC, SÉRIE R, ÁGUA PLUVIAL, DN 100 MM, FORNECIDO E INSTALADO EM CONDUTORES VERTICAIS DE ÁGUAS PLUVIAIS. AF_06/20229</v>
      </c>
      <c r="F33" s="209" t="str">
        <f>'Memória de Cálculo '!E397</f>
        <v>M</v>
      </c>
      <c r="G33" s="210">
        <f>'Memória de Cálculo '!P401</f>
        <v>54</v>
      </c>
      <c r="H33" s="211">
        <v>32.03</v>
      </c>
      <c r="I33" s="208">
        <f>TRUNC(H33+H33*$J$6,2)</f>
        <v>41.26</v>
      </c>
      <c r="J33" s="208">
        <f>TRUNC(G33*I33,2)</f>
        <v>2228.04</v>
      </c>
      <c r="K33" s="238">
        <f>J33/$J$59</f>
        <v>0.00627512681274119</v>
      </c>
    </row>
    <row r="34" ht="47.25" spans="2:11">
      <c r="B34" s="214" t="str">
        <f>'Memória de Cálculo '!A386</f>
        <v>8.5</v>
      </c>
      <c r="C34" s="214" t="str">
        <f>'Memória de Cálculo '!B386</f>
        <v>COMPOSIÇÃO</v>
      </c>
      <c r="D34" s="209">
        <f>'Memória de Cálculo '!C386</f>
        <v>16</v>
      </c>
      <c r="E34" s="218" t="str">
        <f>'Memória de Cálculo '!D386</f>
        <v>PINTURA DE FUNDO (TIPO ZARÃO) PULVERIZADA SOBRE SUPERFÍCIES METÁLICAS COM ACABAMENTO EM PINTURA (TIPO ESMALTE SINTÉTICO) PULVERIZADA, DUAS DEMÃOS, INCLUSO LIXAMENTO.</v>
      </c>
      <c r="F34" s="214" t="str">
        <f>'Memória de Cálculo '!E386</f>
        <v>M²</v>
      </c>
      <c r="G34" s="210">
        <f>'Memória de Cálculo '!P391</f>
        <v>12.57</v>
      </c>
      <c r="H34" s="211">
        <f>COMPOSIÇÕES!G329</f>
        <v>106.92</v>
      </c>
      <c r="I34" s="208">
        <f>TRUNC(H34+H34*$J$6,2)</f>
        <v>137.73</v>
      </c>
      <c r="J34" s="208">
        <f>TRUNC(G34*I34,2)</f>
        <v>1731.26</v>
      </c>
      <c r="K34" s="238">
        <f>J34/$J$59</f>
        <v>0.00487597890784111</v>
      </c>
    </row>
    <row r="35" ht="34.5" customHeight="1" spans="2:11">
      <c r="B35" s="212" t="str">
        <f>'Memória de Cálculo '!A49</f>
        <v>3.4</v>
      </c>
      <c r="C35" s="212" t="str">
        <f>'Memória de Cálculo '!B49</f>
        <v>COMPOSIÇÃO</v>
      </c>
      <c r="D35" s="205">
        <f>'Memória de Cálculo '!C49</f>
        <v>3</v>
      </c>
      <c r="E35" s="206" t="str">
        <f>'Memória de Cálculo '!D49</f>
        <v>DEMOLIÇÃO MANUAL DE CONCRETO SIMPLES (ALGEROZES DO SETOR CENTRAL)</v>
      </c>
      <c r="F35" s="205" t="str">
        <f>'Memória de Cálculo '!E49</f>
        <v>M³</v>
      </c>
      <c r="G35" s="207">
        <f>'Memória de Cálculo '!P57</f>
        <v>2.79</v>
      </c>
      <c r="H35" s="208">
        <f>COMPOSIÇÕES!G54</f>
        <v>268.98</v>
      </c>
      <c r="I35" s="208">
        <f>TRUNC(H35+H35*$J$6,2)</f>
        <v>346.5</v>
      </c>
      <c r="J35" s="208">
        <f>TRUNC(G35*I35,2)</f>
        <v>966.73</v>
      </c>
      <c r="K35" s="238">
        <f>J35/$J$59</f>
        <v>0.00272273089517302</v>
      </c>
    </row>
    <row r="36" ht="31.5" spans="2:11">
      <c r="B36" s="209" t="str">
        <f>'Memória de Cálculo '!A411</f>
        <v>10.1</v>
      </c>
      <c r="C36" s="212" t="str">
        <f>'Memória de Cálculo '!B411</f>
        <v>SINAPI -PE JAN/23</v>
      </c>
      <c r="D36" s="209">
        <f>'Memória de Cálculo '!C411</f>
        <v>89450</v>
      </c>
      <c r="E36" s="14" t="str">
        <f>'Memória de Cálculo '!D411</f>
        <v>TUBO, PVC, SOLDÁVEL, DN 60MM, INSTALADO EM PRUMADA DE ÁGUA - FORNECIMENTO E INSTALAÇÃO. AF_06/2022</v>
      </c>
      <c r="F36" s="209" t="str">
        <f>'Memória de Cálculo '!E411</f>
        <v>M</v>
      </c>
      <c r="G36" s="210">
        <f>'Memória de Cálculo '!P416</f>
        <v>23.1</v>
      </c>
      <c r="H36" s="210">
        <v>31.44</v>
      </c>
      <c r="I36" s="208">
        <f>TRUNC(H36+H36*$J$6,2)</f>
        <v>40.5</v>
      </c>
      <c r="J36" s="208">
        <f>TRUNC(G36*I36,2)</f>
        <v>935.55</v>
      </c>
      <c r="K36" s="238">
        <f>J36/$J$59</f>
        <v>0.00263491449420119</v>
      </c>
    </row>
    <row r="37" ht="47.25" spans="2:11">
      <c r="B37" s="205" t="str">
        <f>'Memória de Cálculo '!A242</f>
        <v>4.3</v>
      </c>
      <c r="C37" s="205" t="str">
        <f>'Memória de Cálculo '!B242</f>
        <v>COTAÇÃO</v>
      </c>
      <c r="D37" s="205" t="str">
        <f>'Memória de Cálculo '!C242</f>
        <v>Painel de Preços</v>
      </c>
      <c r="E37" s="206" t="str">
        <f>'Memória de Cálculo '!D242</f>
        <v>CONFECÇÃO E APLICAÇÃO DE CLARABÓIA REMOVÍVEL EM POLICARBONATO COM ESTRUTURA METÁLICA (METALON) CONFORME DESENHO ESQUEMÁTICO DO RELATÓRIO.</v>
      </c>
      <c r="F37" s="205" t="str">
        <f>'Memória de Cálculo '!E242</f>
        <v>M²</v>
      </c>
      <c r="G37" s="207">
        <f>'Memória de Cálculo '!P246</f>
        <v>4.35</v>
      </c>
      <c r="H37" s="208">
        <v>156.5</v>
      </c>
      <c r="I37" s="208">
        <f>TRUNC(H37+H37*$J$6,2)</f>
        <v>201.6</v>
      </c>
      <c r="J37" s="208">
        <f>TRUNC(G37*I37,2)</f>
        <v>876.96</v>
      </c>
      <c r="K37" s="238">
        <f>J37/$J$59</f>
        <v>0.0024698996470896</v>
      </c>
    </row>
    <row r="38" ht="30" customHeight="1" spans="2:11">
      <c r="B38" s="205" t="str">
        <f>'Memória de Cálculo '!A274</f>
        <v>4.7</v>
      </c>
      <c r="C38" s="205" t="str">
        <f>'Memória de Cálculo '!B274</f>
        <v>SINAPI -PE JAN/23</v>
      </c>
      <c r="D38" s="205">
        <f>'Memória de Cálculo '!C274</f>
        <v>95241</v>
      </c>
      <c r="E38" s="206" t="str">
        <f>'Memória de Cálculo '!D274</f>
        <v>LASTRO DE CONCRETO MAGRO, APLICADO EM PISOS, LAJES SOBRE SOLO OU RADIERS, ESPESSURA DE 5 CM. AF_07/2016</v>
      </c>
      <c r="F38" s="205" t="str">
        <f>'Memória de Cálculo '!E274</f>
        <v>M²</v>
      </c>
      <c r="G38" s="207">
        <f>'Memória de Cálculo '!P283</f>
        <v>21.46</v>
      </c>
      <c r="H38" s="208">
        <v>29.29</v>
      </c>
      <c r="I38" s="208">
        <f>TRUNC(H38+H38*$J$6,2)</f>
        <v>37.73</v>
      </c>
      <c r="J38" s="208">
        <f>TRUNC(G38*I38,2)</f>
        <v>809.68</v>
      </c>
      <c r="K38" s="238">
        <f>J38/$J$59</f>
        <v>0.00228040999162505</v>
      </c>
    </row>
    <row r="39" ht="37" customHeight="1" spans="2:11">
      <c r="B39" s="212" t="str">
        <f>'Memória de Cálculo '!A42</f>
        <v>3.3</v>
      </c>
      <c r="C39" s="212" t="str">
        <f>'Memória de Cálculo '!B42</f>
        <v>COMPOSIÇÃO</v>
      </c>
      <c r="D39" s="205">
        <f>'Memória de Cálculo '!C42</f>
        <v>15</v>
      </c>
      <c r="E39" s="213" t="str">
        <f>'Memória de Cálculo '!D42</f>
        <v>REMOÇÃO DE MASSA LATÉX</v>
      </c>
      <c r="F39" s="212" t="str">
        <f>'Memória de Cálculo '!E42</f>
        <v>M²</v>
      </c>
      <c r="G39" s="207">
        <f>'Memória de Cálculo '!P47</f>
        <v>219.35</v>
      </c>
      <c r="H39" s="208">
        <f>COMPOSIÇÕES!G314</f>
        <v>2.83</v>
      </c>
      <c r="I39" s="208">
        <f>TRUNC(H39+H39*$J$6,2)</f>
        <v>3.64</v>
      </c>
      <c r="J39" s="208">
        <f>TRUNC(G39*I39,2)</f>
        <v>798.43</v>
      </c>
      <c r="K39" s="238">
        <f>J39/$J$59</f>
        <v>0.00224872511314741</v>
      </c>
    </row>
    <row r="40" ht="40" customHeight="1" spans="2:11">
      <c r="B40" s="212" t="str">
        <f>'Memória de Cálculo '!A90</f>
        <v>3.9</v>
      </c>
      <c r="C40" s="212" t="str">
        <f>'Memória de Cálculo '!B90</f>
        <v>COMPOSIÇÃO</v>
      </c>
      <c r="D40" s="205">
        <f>'Memória de Cálculo '!C90</f>
        <v>1</v>
      </c>
      <c r="E40" s="213" t="str">
        <f>'Memória de Cálculo '!D90</f>
        <v>LIMPEZA DE CAIXA D'ÁGUA 15.000L</v>
      </c>
      <c r="F40" s="212" t="str">
        <f>'Memória de Cálculo '!E90</f>
        <v>M²</v>
      </c>
      <c r="G40" s="207">
        <f>'Memória de Cálculo '!P95</f>
        <v>50.5</v>
      </c>
      <c r="H40" s="208">
        <f>COMPOSIÇÕES!G21</f>
        <v>10.21</v>
      </c>
      <c r="I40" s="208">
        <f>TRUNC(H40+H40*$J$6,2)</f>
        <v>13.15</v>
      </c>
      <c r="J40" s="208">
        <f>TRUNC(G40*I40,2)</f>
        <v>664.07</v>
      </c>
      <c r="K40" s="238">
        <f>J40/$J$59</f>
        <v>0.00187030908894681</v>
      </c>
    </row>
    <row r="41" ht="31.5" spans="2:11">
      <c r="B41" s="214" t="str">
        <f>'Memória de Cálculo '!A500</f>
        <v>10.13</v>
      </c>
      <c r="C41" s="212" t="str">
        <f>'Memória de Cálculo '!B500</f>
        <v>SINAPI -PE JAN/23</v>
      </c>
      <c r="D41" s="209">
        <f>'Memória de Cálculo '!C500</f>
        <v>97438</v>
      </c>
      <c r="E41" s="218" t="str">
        <f>'Memória de Cálculo '!D500</f>
        <v>CURVA 90 GRAUS, EM AÇO, CONEXÃO RANHURADA, DN 80 (3"), INSTALADO EM PRUMADAS - FORNECIMENTO E INSTALAÇÃO. AF_10/2020</v>
      </c>
      <c r="F41" s="214" t="str">
        <f>'Memória de Cálculo '!E500</f>
        <v>UND</v>
      </c>
      <c r="G41" s="210">
        <f>'Memória de Cálculo '!P505</f>
        <v>3</v>
      </c>
      <c r="H41" s="210">
        <v>136.26</v>
      </c>
      <c r="I41" s="208">
        <f>TRUNC(H41+H41*$J$6,2)</f>
        <v>175.53</v>
      </c>
      <c r="J41" s="208">
        <f>TRUNC(G41*I41,2)</f>
        <v>526.59</v>
      </c>
      <c r="K41" s="238">
        <f>J41/$J$59</f>
        <v>0.00148310579178174</v>
      </c>
    </row>
    <row r="42" ht="31.5" spans="2:11">
      <c r="B42" s="214" t="str">
        <f>'Memória de Cálculo '!A507</f>
        <v>10.14</v>
      </c>
      <c r="C42" s="212" t="str">
        <f>'Memória de Cálculo '!B507</f>
        <v>SINAPI -PE JAN/23</v>
      </c>
      <c r="D42" s="209">
        <f>'Memória de Cálculo '!C507</f>
        <v>97442</v>
      </c>
      <c r="E42" s="218" t="str">
        <f>'Memória de Cálculo '!D507</f>
        <v>TÊ, EM AÇO, CONEXÃO RANHURADA, DN 80 (3"), INSTALADO EM PRUMADAS - FORNECIMENTO E INSTALAÇÃO. AF_10/2020</v>
      </c>
      <c r="F42" s="214" t="str">
        <f>'Memória de Cálculo '!E507</f>
        <v>UND</v>
      </c>
      <c r="G42" s="210">
        <f>'Memória de Cálculo '!P511</f>
        <v>2</v>
      </c>
      <c r="H42" s="210">
        <v>199.81</v>
      </c>
      <c r="I42" s="208">
        <f>TRUNC(H42+H42*$J$6,2)</f>
        <v>257.39</v>
      </c>
      <c r="J42" s="208">
        <f>TRUNC(G42*I42,2)</f>
        <v>514.78</v>
      </c>
      <c r="K42" s="238">
        <f>J42/$J$59</f>
        <v>0.00144984371046431</v>
      </c>
    </row>
    <row r="43" ht="30" customHeight="1" spans="2:11">
      <c r="B43" s="209" t="str">
        <f>'Memória de Cálculo '!A440</f>
        <v>10.5</v>
      </c>
      <c r="C43" s="212" t="str">
        <f>'Memória de Cálculo '!B440</f>
        <v>SINAPI -PE JAN/23</v>
      </c>
      <c r="D43" s="209">
        <f>'Memória de Cálculo '!C440</f>
        <v>89628</v>
      </c>
      <c r="E43" s="14" t="str">
        <f>'Memória de Cálculo '!D440</f>
        <v>TE, PVC, SOLDÁVEL, DN 60MM, INSTALADO EM PRUMADA DE ÁGUA - FORNECIMENTO E INSTALAÇÃO. AF_06/2022</v>
      </c>
      <c r="F43" s="209" t="str">
        <f>'Memória de Cálculo '!E440</f>
        <v>UND</v>
      </c>
      <c r="G43" s="210">
        <f>'Memória de Cálculo '!P445</f>
        <v>7</v>
      </c>
      <c r="H43" s="219">
        <v>47.3</v>
      </c>
      <c r="I43" s="208">
        <f>TRUNC(H43+H43*$J$6,2)</f>
        <v>60.93</v>
      </c>
      <c r="J43" s="208">
        <f>TRUNC(G43*I43,2)</f>
        <v>426.51</v>
      </c>
      <c r="K43" s="238">
        <f>J43/$J$59</f>
        <v>0.00120123711284458</v>
      </c>
    </row>
    <row r="44" ht="30" customHeight="1" spans="2:11">
      <c r="B44" s="209" t="str">
        <f>'Memória de Cálculo '!A403</f>
        <v>9.2</v>
      </c>
      <c r="C44" s="212" t="str">
        <f>'Memória de Cálculo '!B403</f>
        <v>SINAPI -PE JAN/23</v>
      </c>
      <c r="D44" s="209">
        <f>'Memória de Cálculo '!C403</f>
        <v>89584</v>
      </c>
      <c r="E44" s="14" t="str">
        <f>'Memória de Cálculo '!D403</f>
        <v>JOELHO 90 GRAUS, PVC, SERIE R, ÁGUA PLUVIAL, DN 100 MM, JUNTA ELÁSTICA, FORNECIDO E INSTALADO EM CONDUTORES VERTICAIS DE ÁGUAS PLUVIAIS. AF_06/2022</v>
      </c>
      <c r="F44" s="209" t="str">
        <f>'Memória de Cálculo '!E403</f>
        <v>UND</v>
      </c>
      <c r="G44" s="210">
        <f>'Memória de Cálculo '!P407</f>
        <v>6</v>
      </c>
      <c r="H44" s="211">
        <v>43.09</v>
      </c>
      <c r="I44" s="208">
        <f>TRUNC(H44+H44*$J$6,2)</f>
        <v>55.5</v>
      </c>
      <c r="J44" s="208">
        <f>TRUNC(G44*I44,2)</f>
        <v>333</v>
      </c>
      <c r="K44" s="238">
        <f>J44/$J$59</f>
        <v>0.000937872402938374</v>
      </c>
    </row>
    <row r="45" ht="30" customHeight="1" spans="2:11">
      <c r="B45" s="214" t="str">
        <f>'Memória de Cálculo '!A433</f>
        <v>10.4</v>
      </c>
      <c r="C45" s="212" t="str">
        <f>'Memória de Cálculo '!B433</f>
        <v>SINAPI -PE JAN/23</v>
      </c>
      <c r="D45" s="209">
        <f>'Memória de Cálculo '!C433</f>
        <v>89575</v>
      </c>
      <c r="E45" s="218" t="str">
        <f>'Memória de Cálculo '!D433</f>
        <v>LUVA, PVC, SOLDÁVEL, DN 50MM, INSTALADO EM PRUMADA DE ÁGUA - FORNECIMENTO E INSTALAÇÃO. AF_06/2022</v>
      </c>
      <c r="F45" s="214" t="str">
        <f>'Memória de Cálculo '!E433</f>
        <v>UND</v>
      </c>
      <c r="G45" s="210">
        <f>'Memória de Cálculo '!P438</f>
        <v>20</v>
      </c>
      <c r="H45" s="219">
        <v>10.6</v>
      </c>
      <c r="I45" s="208">
        <f>TRUNC(H45+H45*$J$6,2)</f>
        <v>13.65</v>
      </c>
      <c r="J45" s="208">
        <f>TRUNC(G45*I45,2)</f>
        <v>273</v>
      </c>
      <c r="K45" s="238">
        <f>J45/$J$59</f>
        <v>0.000768886384390919</v>
      </c>
    </row>
    <row r="46" ht="30" customHeight="1" spans="2:11">
      <c r="B46" s="209" t="str">
        <f>'Memória de Cálculo '!A379</f>
        <v>8.4</v>
      </c>
      <c r="C46" s="209" t="str">
        <f>'Memória de Cálculo '!B379</f>
        <v>COMPOSIÇÃO</v>
      </c>
      <c r="D46" s="209">
        <f>'Memória de Cálculo '!C379</f>
        <v>10</v>
      </c>
      <c r="E46" s="14" t="str">
        <f>'Memória de Cálculo '!D379</f>
        <v>PINTURA COM ESMALTE SINTÉTICO EM ESQUADRIA DE MADEIRA, DUAS DEMÃOS, COM RASPAGEM E APARELHAMENTO COM ZARCÃO</v>
      </c>
      <c r="F46" s="209" t="str">
        <f>'Memória de Cálculo '!E379</f>
        <v>M²</v>
      </c>
      <c r="G46" s="210">
        <f>'Memória de Cálculo '!P384</f>
        <v>4.2</v>
      </c>
      <c r="H46" s="211">
        <f>COMPOSIÇÕES!G218</f>
        <v>50.3</v>
      </c>
      <c r="I46" s="208">
        <f>TRUNC(H46+H46*$J$6,2)</f>
        <v>64.79</v>
      </c>
      <c r="J46" s="208">
        <f>TRUNC(G46*I46,2)</f>
        <v>272.11</v>
      </c>
      <c r="K46" s="238">
        <f>J46/$J$59</f>
        <v>0.000766379758449132</v>
      </c>
    </row>
    <row r="47" ht="30" customHeight="1" spans="2:11">
      <c r="B47" s="209" t="str">
        <f>'Memória de Cálculo '!A454</f>
        <v>10.7</v>
      </c>
      <c r="C47" s="212" t="str">
        <f>'Memória de Cálculo '!B454</f>
        <v>SINAPI -PE JAN/23</v>
      </c>
      <c r="D47" s="209">
        <f>'Memória de Cálculo '!C454</f>
        <v>89505</v>
      </c>
      <c r="E47" s="14" t="str">
        <f>'Memória de Cálculo '!D454</f>
        <v>JOELHO 90 GRAUS, PVC, SOLDÁVEL, DN 60MM, INSTALADO EM PRUMADA DE ÁGUA - FORNECIMENTO E INSTALAÇÃO. AF_06/2022</v>
      </c>
      <c r="F47" s="209" t="str">
        <f>'Memória de Cálculo '!E454</f>
        <v>UND</v>
      </c>
      <c r="G47" s="210">
        <f>'Memória de Cálculo '!P459</f>
        <v>4</v>
      </c>
      <c r="H47" s="219">
        <v>41.51</v>
      </c>
      <c r="I47" s="208">
        <f>TRUNC(H47+H47*$J$6,2)</f>
        <v>53.47</v>
      </c>
      <c r="J47" s="208">
        <f>TRUNC(G47*I47,2)</f>
        <v>213.88</v>
      </c>
      <c r="K47" s="238">
        <f>J47/$J$59</f>
        <v>0.000602378827448827</v>
      </c>
    </row>
    <row r="48" ht="30" customHeight="1" spans="2:11">
      <c r="B48" s="212" t="str">
        <f>'Memória de Cálculo '!A22</f>
        <v>3.1</v>
      </c>
      <c r="C48" s="212" t="str">
        <f>'Memória de Cálculo '!B22</f>
        <v>SINAPI -PE JAN/23</v>
      </c>
      <c r="D48" s="205">
        <f>'Memória de Cálculo '!C22</f>
        <v>97662</v>
      </c>
      <c r="E48" s="213" t="str">
        <f>'Memória de Cálculo '!D22</f>
        <v>REMOÇÃO DE TUBULAÇÕES (TUBOS E CONEXÕES) DE ÁGUA FRIA, DE FORMA MANUAL, SEM REAPROVEITAMENTO. AF_12/2017</v>
      </c>
      <c r="F48" s="212" t="str">
        <f>'Memória de Cálculo '!E22</f>
        <v>M</v>
      </c>
      <c r="G48" s="207">
        <f>'Memória de Cálculo '!P30</f>
        <v>233.46</v>
      </c>
      <c r="H48" s="208">
        <v>0.4</v>
      </c>
      <c r="I48" s="208">
        <f>TRUNC(H48+H48*$J$6,2)</f>
        <v>0.51</v>
      </c>
      <c r="J48" s="208">
        <f>TRUNC(G48*I48,2)</f>
        <v>119.06</v>
      </c>
      <c r="K48" s="238">
        <f>J48/$J$59</f>
        <v>0.000335324589470999</v>
      </c>
    </row>
    <row r="49" ht="30" customHeight="1" spans="2:11">
      <c r="B49" s="214" t="str">
        <f>'Memória de Cálculo '!A426</f>
        <v>10.3</v>
      </c>
      <c r="C49" s="212" t="str">
        <f>'Memória de Cálculo '!B426</f>
        <v>SINAPI -PE JAN/23</v>
      </c>
      <c r="D49" s="209">
        <f>'Memória de Cálculo '!C426</f>
        <v>89597</v>
      </c>
      <c r="E49" s="218" t="str">
        <f>'Memória de Cálculo '!D426</f>
        <v>LUVA, PVC, SOLDÁVEL, DN 60MM, INSTALADO EM PRUMADA DE ÁGUA - FORNECIMENTO E INSTALAÇÃO. AF_06/2022</v>
      </c>
      <c r="F49" s="214" t="str">
        <f>'Memória de Cálculo '!E426</f>
        <v>UND</v>
      </c>
      <c r="G49" s="210">
        <f>'Memória de Cálculo '!P431</f>
        <v>4</v>
      </c>
      <c r="H49" s="210">
        <v>22.04</v>
      </c>
      <c r="I49" s="208">
        <f>TRUNC(H49+H49*$J$6,2)</f>
        <v>28.39</v>
      </c>
      <c r="J49" s="208">
        <f>TRUNC(G49*I49,2)</f>
        <v>113.56</v>
      </c>
      <c r="K49" s="238">
        <f>J49/$J$59</f>
        <v>0.000319834204437483</v>
      </c>
    </row>
    <row r="50" ht="30" customHeight="1" spans="2:11">
      <c r="B50" s="214" t="str">
        <f>'Memória de Cálculo '!A468</f>
        <v>10.9</v>
      </c>
      <c r="C50" s="212" t="str">
        <f>'Memória de Cálculo '!B468</f>
        <v>SINAPI -PE JAN/23</v>
      </c>
      <c r="D50" s="209">
        <f>'Memória de Cálculo '!C468</f>
        <v>94707</v>
      </c>
      <c r="E50" s="218" t="str">
        <f>'Memória de Cálculo '!D468</f>
        <v>ADAPTADOR COM FLANGE E ANEL DE VEDAÇÃO, PVC, SOLDÁVEL, DN 60 MM X 2 , INSTALADO EM RESERVAÇÃO DE ÁGUA DE EDIFICAÇÃO QUE POSSUA RESERVATÓRIO DE FI BRA/FIBROCIMENTO   FORNECIMENTO E INSTALAÇÃO. AF_06/2016</v>
      </c>
      <c r="F50" s="214" t="str">
        <f>'Memória de Cálculo '!E468</f>
        <v>UND</v>
      </c>
      <c r="G50" s="210">
        <f>'Memória de Cálculo '!P473</f>
        <v>1</v>
      </c>
      <c r="H50" s="219">
        <v>65.34</v>
      </c>
      <c r="I50" s="208">
        <f>TRUNC(H50+H50*$J$6,2)</f>
        <v>84.17</v>
      </c>
      <c r="J50" s="208">
        <f>TRUNC(G50*I50,2)</f>
        <v>84.17</v>
      </c>
      <c r="K50" s="238">
        <f>J50/$J$59</f>
        <v>0.000237059219685655</v>
      </c>
    </row>
    <row r="51" ht="43" customHeight="1" spans="2:11">
      <c r="B51" s="214" t="str">
        <f>'Memória de Cálculo '!A475</f>
        <v>10.10</v>
      </c>
      <c r="C51" s="212" t="str">
        <f>'Memória de Cálculo '!B475</f>
        <v>SINAPI -PE JAN/23</v>
      </c>
      <c r="D51" s="209">
        <f>'Memória de Cálculo '!C475</f>
        <v>94706</v>
      </c>
      <c r="E51" s="218" t="str">
        <f>'Memória de Cálculo '!D475</f>
        <v>ADAPTADOR COM FLANGE E ANEL DE VEDAÇÃO, PVC, SOLDÁVEL, DN 50 MM X 1 1/2 , INSTALADO EM RESERVAÇÃO DE ÁGUA DE EDIFICAÇÃO QUE POSSUA RESERVATÓRIO DE FIBRA/FIBROCIMENTO   FORNECIMENTO E INSTALAÇÃO. AF_06/2016</v>
      </c>
      <c r="F51" s="214" t="str">
        <f>'Memória de Cálculo '!E475</f>
        <v>UND</v>
      </c>
      <c r="G51" s="210">
        <f>'Memória de Cálculo '!P480</f>
        <v>1</v>
      </c>
      <c r="H51" s="219">
        <v>43.4</v>
      </c>
      <c r="I51" s="208">
        <f>TRUNC(H51+H51*$J$6,2)</f>
        <v>55.9</v>
      </c>
      <c r="J51" s="208">
        <f>TRUNC(G51*I51,2)</f>
        <v>55.9</v>
      </c>
      <c r="K51" s="238">
        <f>J51/$J$59</f>
        <v>0.000157438640613379</v>
      </c>
    </row>
    <row r="52" ht="37" customHeight="1" spans="2:11">
      <c r="B52" s="214" t="str">
        <f>'Memória de Cálculo '!A461</f>
        <v>10.8</v>
      </c>
      <c r="C52" s="212" t="str">
        <f>'Memória de Cálculo '!B461</f>
        <v>SINAPI -PE JAN/23</v>
      </c>
      <c r="D52" s="209">
        <f>'Memória de Cálculo '!C461</f>
        <v>103984</v>
      </c>
      <c r="E52" s="218" t="str">
        <f>'Memória de Cálculo '!D461</f>
        <v>JOELHO 90 GRAUS, PVC, SOLDÁVEL, DN 50MM, INSTALADO EM RAMAL DE DISTRIBUIÇÃO DE ÁGUA - FORNECIMENTO E INSTALAÇÃO. AF_06/2022</v>
      </c>
      <c r="F52" s="214" t="str">
        <f>'Memória de Cálculo '!E461</f>
        <v>UND</v>
      </c>
      <c r="G52" s="210">
        <f>'Memória de Cálculo '!P466</f>
        <v>2</v>
      </c>
      <c r="H52" s="219">
        <v>17.14</v>
      </c>
      <c r="I52" s="208">
        <f>TRUNC(H52+H52*$J$6,2)</f>
        <v>22.07</v>
      </c>
      <c r="J52" s="208">
        <f>TRUNC(G52*I52,2)</f>
        <v>44.14</v>
      </c>
      <c r="K52" s="238">
        <f>J52/$J$59</f>
        <v>0.000124317380978078</v>
      </c>
    </row>
    <row r="53" ht="36" customHeight="1" spans="2:11">
      <c r="B53" s="212" t="str">
        <f>'Memória de Cálculo '!A59</f>
        <v>3.5</v>
      </c>
      <c r="C53" s="212" t="str">
        <f>'Memória de Cálculo '!B59</f>
        <v>SINAPI -PE JAN/23</v>
      </c>
      <c r="D53" s="205">
        <f>'Memória de Cálculo '!C59</f>
        <v>97644</v>
      </c>
      <c r="E53" s="213" t="str">
        <f>'Memória de Cálculo '!D59</f>
        <v>REMOÇÃO DE PORTAS, DE FORMA MANUAL, SEM REAPROVEITAMENTO. AF_12/2017</v>
      </c>
      <c r="F53" s="212" t="str">
        <f>'Memória de Cálculo '!E59</f>
        <v>M²</v>
      </c>
      <c r="G53" s="207">
        <f>'Memória de Cálculo '!P64</f>
        <v>4.2</v>
      </c>
      <c r="H53" s="208">
        <v>7.73</v>
      </c>
      <c r="I53" s="208">
        <f>TRUNC(H53+H53*$J$6,2)</f>
        <v>9.95</v>
      </c>
      <c r="J53" s="208">
        <f>TRUNC(G53*I53,2)</f>
        <v>41.79</v>
      </c>
      <c r="K53" s="238">
        <f>J53/$J$59</f>
        <v>0.000117698761918302</v>
      </c>
    </row>
    <row r="54" ht="76" customHeight="1" spans="2:11">
      <c r="B54" s="214" t="str">
        <f>'Memória de Cálculo '!A447</f>
        <v>10.6</v>
      </c>
      <c r="C54" s="212" t="str">
        <f>'Memória de Cálculo '!B447</f>
        <v>SINAPI -PE JAN/23</v>
      </c>
      <c r="D54" s="209">
        <f>'Memória de Cálculo '!C447</f>
        <v>89625</v>
      </c>
      <c r="E54" s="218" t="str">
        <f>'Memória de Cálculo '!D447</f>
        <v>TE, PVC, SOLDÁVEL, DN 50MM, INSTALADO EM PRUMADA DE ÁGUA - FORNECIMENTO E INSTALAÇÃO. AF_06/2022</v>
      </c>
      <c r="F54" s="214" t="str">
        <f>'Memória de Cálculo '!E447</f>
        <v>UND</v>
      </c>
      <c r="G54" s="210">
        <f>'Memória de Cálculo '!P452</f>
        <v>1</v>
      </c>
      <c r="H54" s="219">
        <v>21.06</v>
      </c>
      <c r="I54" s="208">
        <f>TRUNC(H54+H54*$J$6,2)</f>
        <v>27.12</v>
      </c>
      <c r="J54" s="208">
        <f>TRUNC(G54*I54,2)</f>
        <v>27.12</v>
      </c>
      <c r="K54" s="238">
        <f>J54/$J$59</f>
        <v>7.63816803834496e-5</v>
      </c>
    </row>
    <row r="55" ht="52" customHeight="1" spans="2:11">
      <c r="B55" s="212" t="str">
        <f>'Memória de Cálculo '!A308</f>
        <v>5.2</v>
      </c>
      <c r="C55" s="212" t="str">
        <f>'Memória de Cálculo '!B308</f>
        <v>COMPOSIÇÃO</v>
      </c>
      <c r="D55" s="205">
        <f>'Memória de Cálculo '!C308</f>
        <v>5</v>
      </c>
      <c r="E55" s="213" t="str">
        <f>'Memória de Cálculo '!D308</f>
        <v>CONCRETO ARMADO PRONTO, FGK 25 MPA, CONDIÇÃO B (NBR 12655), SUBSTITUINDO O CIMENTO POR GRAUTE, LANÇADO EM QUALQUER TIPO DE ESTRUTURA E ADENSADO, INCLUSIVE FORMA, ESCORAMENTO E FERRAGEM.</v>
      </c>
      <c r="F55" s="212" t="str">
        <f>'Memória de Cálculo '!E308</f>
        <v>M3</v>
      </c>
      <c r="G55" s="207">
        <f>'Memória de Cálculo '!P316</f>
        <v>0.0033</v>
      </c>
      <c r="H55" s="208">
        <f>COMPOSIÇÕES!G100</f>
        <v>3988.37</v>
      </c>
      <c r="I55" s="208">
        <f>TRUNC(H55+H55*$J$6,2)</f>
        <v>5137.81</v>
      </c>
      <c r="J55" s="208">
        <f>TRUNC(G55*I55,2)</f>
        <v>16.95</v>
      </c>
      <c r="K55" s="238">
        <f>J55/$J$59</f>
        <v>4.7738550239656e-5</v>
      </c>
    </row>
    <row r="56" ht="59" customHeight="1" spans="2:11">
      <c r="B56" s="212" t="str">
        <f>'Memória de Cálculo '!A97</f>
        <v>3.10</v>
      </c>
      <c r="C56" s="212" t="str">
        <f>'Memória de Cálculo '!B97</f>
        <v>SINAPI -PE JAN/23</v>
      </c>
      <c r="D56" s="205">
        <f>'Memória de Cálculo '!C97</f>
        <v>99814</v>
      </c>
      <c r="E56" s="213" t="str">
        <f>'Memória de Cálculo '!D97</f>
        <v>LIMPEZA DE SUPERFÍCIE COM JATO DE ALTA PRESSÃO. AF_04/2019</v>
      </c>
      <c r="F56" s="212" t="str">
        <f>'Memória de Cálculo '!E97</f>
        <v>M²</v>
      </c>
      <c r="G56" s="207">
        <v>1.64</v>
      </c>
      <c r="H56" s="208">
        <v>1.69</v>
      </c>
      <c r="I56" s="208">
        <f>TRUNC(H56+H56*$J$6,2)</f>
        <v>2.17</v>
      </c>
      <c r="J56" s="208">
        <f>TRUNC(G56*I56,2)</f>
        <v>3.55</v>
      </c>
      <c r="K56" s="242">
        <f>J56/$J$59</f>
        <v>9.99833943072441e-6</v>
      </c>
    </row>
    <row r="57" ht="46" customHeight="1" spans="2:11">
      <c r="B57" s="212" t="str">
        <f>'Memória de Cálculo '!A82</f>
        <v>3.8</v>
      </c>
      <c r="C57" s="212" t="str">
        <f>'Memória de Cálculo '!B82</f>
        <v>SINAPI -PE JAN/23</v>
      </c>
      <c r="D57" s="205">
        <f>'Memória de Cálculo '!C82</f>
        <v>97628</v>
      </c>
      <c r="E57" s="213" t="str">
        <f>'Memória de Cálculo '!D82</f>
        <v>DEMOLIÇÃO DE LAJES, DE FORMA MANUAL, SEM REAPROVEITAMENTO. AF_12/2017</v>
      </c>
      <c r="F57" s="212" t="str">
        <f>'Memória de Cálculo '!E82</f>
        <v>M3</v>
      </c>
      <c r="G57" s="220">
        <f>'Memória de Cálculo '!P88</f>
        <v>0.0033</v>
      </c>
      <c r="H57" s="208">
        <v>236.85</v>
      </c>
      <c r="I57" s="208">
        <f>TRUNC(H57+H57*$J$6,2)</f>
        <v>305.11</v>
      </c>
      <c r="J57" s="208">
        <f>TRUNC(G57*I57,2)</f>
        <v>1</v>
      </c>
      <c r="K57" s="242">
        <f>J57/$J$59</f>
        <v>2.81643364245758e-6</v>
      </c>
    </row>
    <row r="58" ht="30" customHeight="1" spans="2:16">
      <c r="B58" s="221"/>
      <c r="C58" s="222"/>
      <c r="D58" s="223"/>
      <c r="E58" s="224"/>
      <c r="F58" s="222"/>
      <c r="G58" s="225"/>
      <c r="H58" s="225"/>
      <c r="I58" s="243"/>
      <c r="J58" s="208"/>
      <c r="K58" s="238"/>
      <c r="L58" s="190"/>
      <c r="M58" s="190"/>
      <c r="N58" s="190"/>
      <c r="O58" s="244"/>
      <c r="P58" s="244"/>
    </row>
    <row r="59" ht="34.05" customHeight="1" spans="2:16">
      <c r="B59" s="226" t="s">
        <v>27</v>
      </c>
      <c r="C59" s="227"/>
      <c r="D59" s="227"/>
      <c r="E59" s="227"/>
      <c r="F59" s="227"/>
      <c r="G59" s="228"/>
      <c r="H59" s="227"/>
      <c r="I59" s="245"/>
      <c r="J59" s="246">
        <f>SUM(J10:J57)</f>
        <v>355058.96</v>
      </c>
      <c r="K59" s="238">
        <f>J59/$J$59</f>
        <v>1</v>
      </c>
      <c r="O59" s="247"/>
      <c r="P59" s="244"/>
    </row>
    <row r="60" ht="36" customHeight="1" spans="2:16">
      <c r="B60" s="229" t="s">
        <v>28</v>
      </c>
      <c r="C60" s="229"/>
      <c r="D60" s="230" t="str">
        <f>'RESUMO '!C32</f>
        <v>Trezentos e cinquenta e cinco mil, cinquenta e oito reais e noventa e seis centavos.</v>
      </c>
      <c r="E60" s="230"/>
      <c r="F60" s="230"/>
      <c r="G60" s="230"/>
      <c r="H60" s="230"/>
      <c r="I60" s="230"/>
      <c r="J60" s="230"/>
      <c r="K60" s="248"/>
      <c r="L60" s="190"/>
      <c r="M60" s="190"/>
      <c r="N60" s="190"/>
      <c r="O60" s="244"/>
      <c r="P60" s="244"/>
    </row>
    <row r="61" ht="20.25" spans="15:16">
      <c r="O61" s="244"/>
      <c r="P61" s="244"/>
    </row>
    <row r="62" ht="60" customHeight="1" spans="15:16">
      <c r="O62" s="249"/>
      <c r="P62" s="250"/>
    </row>
    <row r="63" ht="20.25" spans="15:16">
      <c r="O63" s="244"/>
      <c r="P63" s="244"/>
    </row>
    <row r="64" ht="20.25" spans="15:16">
      <c r="O64" s="244"/>
      <c r="P64" s="244"/>
    </row>
    <row r="65" ht="20.25" spans="15:16">
      <c r="O65" s="244"/>
      <c r="P65" s="244"/>
    </row>
  </sheetData>
  <sortState ref="B10:K58">
    <sortCondition ref="K10:K58" descending="1"/>
  </sortState>
  <mergeCells count="22">
    <mergeCell ref="B2:K2"/>
    <mergeCell ref="B3:K3"/>
    <mergeCell ref="B4:K4"/>
    <mergeCell ref="B5:C5"/>
    <mergeCell ref="D5:G5"/>
    <mergeCell ref="H5:K5"/>
    <mergeCell ref="B6:C6"/>
    <mergeCell ref="D6:G6"/>
    <mergeCell ref="J6:K6"/>
    <mergeCell ref="B7:C7"/>
    <mergeCell ref="D7:G7"/>
    <mergeCell ref="I7:K7"/>
    <mergeCell ref="F8:G8"/>
    <mergeCell ref="H8:J8"/>
    <mergeCell ref="B59:I59"/>
    <mergeCell ref="B60:C60"/>
    <mergeCell ref="D60:K60"/>
    <mergeCell ref="B8:B9"/>
    <mergeCell ref="C8:C9"/>
    <mergeCell ref="D8:D9"/>
    <mergeCell ref="E8:E9"/>
    <mergeCell ref="K8:K9"/>
  </mergeCells>
  <printOptions horizontalCentered="1"/>
  <pageMargins left="0.251388888888889" right="0.251388888888889" top="0.751388888888889" bottom="0.751388888888889" header="0.298611111111111" footer="0.298611111111111"/>
  <pageSetup paperSize="9" scale="39" orientation="portrait" horizontalDpi="6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ilha5"/>
  <dimension ref="A1:M23"/>
  <sheetViews>
    <sheetView view="pageBreakPreview" zoomScale="90" zoomScaleNormal="100" topLeftCell="A5" workbookViewId="0">
      <selection activeCell="A24" sqref="A24"/>
    </sheetView>
  </sheetViews>
  <sheetFormatPr defaultColWidth="9.33333333333333" defaultRowHeight="15.75"/>
  <cols>
    <col min="1" max="1" width="12.4111111111111" style="3" customWidth="1"/>
    <col min="2" max="2" width="34.6666666666667" style="3" customWidth="1"/>
    <col min="3" max="3" width="11.5555555555556" style="3" customWidth="1"/>
    <col min="4" max="4" width="16.8888888888889" style="3" customWidth="1"/>
    <col min="5" max="5" width="12.2222222222222" style="3" customWidth="1"/>
    <col min="6" max="6" width="16" style="3" customWidth="1"/>
    <col min="7" max="7" width="11.4444444444444" style="3" customWidth="1"/>
    <col min="8" max="8" width="16.8888888888889" style="3" customWidth="1"/>
    <col min="9" max="9" width="10.2222222222222" style="3" customWidth="1"/>
    <col min="10" max="10" width="16.6666666666667" style="3" customWidth="1"/>
    <col min="11" max="11" width="11.6666666666667" style="3" customWidth="1"/>
    <col min="12" max="12" width="20.1777777777778" style="3" customWidth="1"/>
    <col min="13" max="242" width="10.5555555555556" style="3" customWidth="1"/>
    <col min="243" max="1023" width="9.33333333333333" style="3"/>
    <col min="1024" max="16384" width="9.33333333333333" style="155"/>
  </cols>
  <sheetData>
    <row r="1" ht="60" customHeight="1" spans="1:12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83"/>
    </row>
    <row r="2" ht="20.25" spans="1:12">
      <c r="A2" s="158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84"/>
    </row>
    <row r="3" ht="27" customHeight="1" spans="1:12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85"/>
    </row>
    <row r="4" ht="30" customHeight="1" spans="1:12">
      <c r="A4" s="162" t="s">
        <v>212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ht="38" customHeight="1" spans="1:12">
      <c r="A5" s="163" t="s">
        <v>3</v>
      </c>
      <c r="B5" s="14" t="s">
        <v>4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ht="28.05" customHeight="1" spans="1:12">
      <c r="A6" s="163" t="s">
        <v>33</v>
      </c>
      <c r="B6" s="14" t="s">
        <v>6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ht="27" customHeight="1" spans="1:12">
      <c r="A7" s="164" t="s">
        <v>9</v>
      </c>
      <c r="B7" s="164" t="s">
        <v>11</v>
      </c>
      <c r="C7" s="165" t="s">
        <v>211</v>
      </c>
      <c r="D7" s="165" t="s">
        <v>213</v>
      </c>
      <c r="E7" s="165" t="s">
        <v>214</v>
      </c>
      <c r="F7" s="165"/>
      <c r="G7" s="165" t="s">
        <v>215</v>
      </c>
      <c r="H7" s="165"/>
      <c r="I7" s="165" t="s">
        <v>216</v>
      </c>
      <c r="J7" s="165"/>
      <c r="K7" s="165" t="s">
        <v>217</v>
      </c>
      <c r="L7" s="165"/>
    </row>
    <row r="8" ht="19.95" customHeight="1" spans="1:12">
      <c r="A8" s="164"/>
      <c r="B8" s="164"/>
      <c r="C8" s="165"/>
      <c r="D8" s="166" t="s">
        <v>218</v>
      </c>
      <c r="E8" s="166" t="s">
        <v>211</v>
      </c>
      <c r="F8" s="166" t="s">
        <v>218</v>
      </c>
      <c r="G8" s="166" t="s">
        <v>211</v>
      </c>
      <c r="H8" s="166" t="s">
        <v>218</v>
      </c>
      <c r="I8" s="166" t="s">
        <v>211</v>
      </c>
      <c r="J8" s="166" t="s">
        <v>218</v>
      </c>
      <c r="K8" s="166" t="s">
        <v>211</v>
      </c>
      <c r="L8" s="166" t="s">
        <v>218</v>
      </c>
    </row>
    <row r="9" ht="6" customHeight="1" spans="1:12">
      <c r="A9" s="167"/>
      <c r="B9" s="168"/>
      <c r="C9" s="169"/>
      <c r="D9" s="170"/>
      <c r="E9" s="169"/>
      <c r="F9" s="170"/>
      <c r="G9" s="169"/>
      <c r="H9" s="170"/>
      <c r="I9" s="169"/>
      <c r="J9" s="170"/>
      <c r="K9" s="169"/>
      <c r="L9" s="170"/>
    </row>
    <row r="10" ht="32" customHeight="1" spans="1:12">
      <c r="A10" s="171" t="s">
        <v>17</v>
      </c>
      <c r="B10" s="172" t="str">
        <f>'RESUMO '!B11:G11</f>
        <v>ADMINISTRAÇÃO DE OBRA</v>
      </c>
      <c r="C10" s="173">
        <f t="shared" ref="C10:C19" si="0">D10/$D$21</f>
        <v>0.0314592821428869</v>
      </c>
      <c r="D10" s="174">
        <f>'RESUMO '!H11</f>
        <v>11169.9</v>
      </c>
      <c r="E10" s="175">
        <f>1/4</f>
        <v>0.25</v>
      </c>
      <c r="F10" s="176">
        <f t="shared" ref="F10:F19" si="1">D10*E10</f>
        <v>2792.475</v>
      </c>
      <c r="G10" s="175">
        <f>1/4</f>
        <v>0.25</v>
      </c>
      <c r="H10" s="176">
        <f t="shared" ref="H10:H19" si="2">D10*G10</f>
        <v>2792.475</v>
      </c>
      <c r="I10" s="175">
        <f>1/4</f>
        <v>0.25</v>
      </c>
      <c r="J10" s="176">
        <f t="shared" ref="J10:J19" si="3">D10*I10</f>
        <v>2792.475</v>
      </c>
      <c r="K10" s="175">
        <f>1/4</f>
        <v>0.25</v>
      </c>
      <c r="L10" s="176">
        <f>D10*K10</f>
        <v>2792.475</v>
      </c>
    </row>
    <row r="11" ht="32" customHeight="1" spans="1:12">
      <c r="A11" s="171" t="s">
        <v>18</v>
      </c>
      <c r="B11" s="172" t="str">
        <f>'RESUMO '!B13:G13</f>
        <v>SERVIÇOS PRELIMINARES</v>
      </c>
      <c r="C11" s="173">
        <f t="shared" si="0"/>
        <v>0.00901219335515431</v>
      </c>
      <c r="D11" s="174">
        <f>'RESUMO '!H13</f>
        <v>3199.86</v>
      </c>
      <c r="E11" s="175">
        <v>1</v>
      </c>
      <c r="F11" s="176">
        <f t="shared" si="1"/>
        <v>3199.86</v>
      </c>
      <c r="G11" s="175">
        <v>0</v>
      </c>
      <c r="H11" s="176">
        <f t="shared" si="2"/>
        <v>0</v>
      </c>
      <c r="I11" s="175">
        <v>0</v>
      </c>
      <c r="J11" s="176">
        <f t="shared" si="3"/>
        <v>0</v>
      </c>
      <c r="K11" s="175">
        <v>0</v>
      </c>
      <c r="L11" s="176">
        <f t="shared" ref="L11:L19" si="4">D11*K11</f>
        <v>0</v>
      </c>
    </row>
    <row r="12" ht="25" customHeight="1" spans="1:12">
      <c r="A12" s="171" t="s">
        <v>19</v>
      </c>
      <c r="B12" s="172" t="str">
        <f>'RESUMO '!B15:G15</f>
        <v>REMOÇÃO E LIMPEZA</v>
      </c>
      <c r="C12" s="173">
        <f t="shared" si="0"/>
        <v>0.0934547603023453</v>
      </c>
      <c r="D12" s="174">
        <f>'RESUMO '!H15</f>
        <v>33181.95</v>
      </c>
      <c r="E12" s="175">
        <f>100%-(28.67%/2)</f>
        <v>0.85665</v>
      </c>
      <c r="F12" s="176">
        <f t="shared" si="1"/>
        <v>28425.3174675</v>
      </c>
      <c r="G12" s="175">
        <f>(28.67%/2)</f>
        <v>0.14335</v>
      </c>
      <c r="H12" s="176">
        <f t="shared" si="2"/>
        <v>4756.6325325</v>
      </c>
      <c r="I12" s="175">
        <v>0</v>
      </c>
      <c r="J12" s="176">
        <f t="shared" si="3"/>
        <v>0</v>
      </c>
      <c r="K12" s="175">
        <v>0</v>
      </c>
      <c r="L12" s="176">
        <f t="shared" si="4"/>
        <v>0</v>
      </c>
    </row>
    <row r="13" ht="25" customHeight="1" spans="1:12">
      <c r="A13" s="171" t="s">
        <v>20</v>
      </c>
      <c r="B13" s="177" t="str">
        <f>'RESUMO '!B17:G17</f>
        <v>COBERTA/TELHADO</v>
      </c>
      <c r="C13" s="173">
        <f t="shared" si="0"/>
        <v>0.481940971155889</v>
      </c>
      <c r="D13" s="174">
        <f>'RESUMO '!H17</f>
        <v>171117.46</v>
      </c>
      <c r="E13" s="175">
        <v>0</v>
      </c>
      <c r="F13" s="176">
        <f t="shared" si="1"/>
        <v>0</v>
      </c>
      <c r="G13" s="175">
        <v>0.5</v>
      </c>
      <c r="H13" s="176">
        <f t="shared" si="2"/>
        <v>85558.73</v>
      </c>
      <c r="I13" s="175">
        <v>0.5</v>
      </c>
      <c r="J13" s="176">
        <f t="shared" si="3"/>
        <v>85558.73</v>
      </c>
      <c r="K13" s="175">
        <v>0</v>
      </c>
      <c r="L13" s="176">
        <f t="shared" si="4"/>
        <v>0</v>
      </c>
    </row>
    <row r="14" ht="25" customHeight="1" spans="1:12">
      <c r="A14" s="171" t="s">
        <v>21</v>
      </c>
      <c r="B14" s="172" t="str">
        <f>'RESUMO '!B19:G19</f>
        <v>IMPERMEABILIZAÇÃO</v>
      </c>
      <c r="C14" s="173">
        <f t="shared" si="0"/>
        <v>0.0305214660686214</v>
      </c>
      <c r="D14" s="174">
        <f>'RESUMO '!H19</f>
        <v>10836.92</v>
      </c>
      <c r="E14" s="175">
        <v>0</v>
      </c>
      <c r="F14" s="176">
        <f t="shared" si="1"/>
        <v>0</v>
      </c>
      <c r="G14" s="175">
        <v>0.5</v>
      </c>
      <c r="H14" s="176">
        <f t="shared" si="2"/>
        <v>5418.46</v>
      </c>
      <c r="I14" s="175">
        <v>0.5</v>
      </c>
      <c r="J14" s="176">
        <f t="shared" si="3"/>
        <v>5418.46</v>
      </c>
      <c r="K14" s="175">
        <v>0</v>
      </c>
      <c r="L14" s="176">
        <f t="shared" si="4"/>
        <v>0</v>
      </c>
    </row>
    <row r="15" ht="25" customHeight="1" spans="1:12">
      <c r="A15" s="171" t="s">
        <v>22</v>
      </c>
      <c r="B15" s="172" t="str">
        <f>'RESUMO '!B21:G21</f>
        <v>REVESTIMENTO</v>
      </c>
      <c r="C15" s="173">
        <f t="shared" si="0"/>
        <v>0.102055219223309</v>
      </c>
      <c r="D15" s="174">
        <f>'RESUMO '!H21</f>
        <v>36235.62</v>
      </c>
      <c r="E15" s="175">
        <v>0</v>
      </c>
      <c r="F15" s="176">
        <f t="shared" si="1"/>
        <v>0</v>
      </c>
      <c r="G15" s="175">
        <v>0</v>
      </c>
      <c r="H15" s="176">
        <f t="shared" si="2"/>
        <v>0</v>
      </c>
      <c r="I15" s="175">
        <v>0.5</v>
      </c>
      <c r="J15" s="176">
        <f t="shared" si="3"/>
        <v>18117.81</v>
      </c>
      <c r="K15" s="175">
        <v>0.5</v>
      </c>
      <c r="L15" s="176">
        <f t="shared" si="4"/>
        <v>18117.81</v>
      </c>
    </row>
    <row r="16" ht="32" customHeight="1" spans="1:12">
      <c r="A16" s="171" t="s">
        <v>23</v>
      </c>
      <c r="B16" s="172" t="str">
        <f>'RESUMO '!B23:G23</f>
        <v>ESQUADRIAS DE MADEIRA</v>
      </c>
      <c r="C16" s="173">
        <f t="shared" si="0"/>
        <v>0.00930749642256599</v>
      </c>
      <c r="D16" s="174">
        <f>'RESUMO '!H23</f>
        <v>3304.71</v>
      </c>
      <c r="E16" s="175">
        <v>0</v>
      </c>
      <c r="F16" s="176">
        <f t="shared" si="1"/>
        <v>0</v>
      </c>
      <c r="G16" s="175">
        <v>0</v>
      </c>
      <c r="H16" s="176">
        <f t="shared" si="2"/>
        <v>0</v>
      </c>
      <c r="I16" s="175">
        <v>1</v>
      </c>
      <c r="J16" s="176">
        <f t="shared" si="3"/>
        <v>3304.71</v>
      </c>
      <c r="K16" s="175">
        <v>0</v>
      </c>
      <c r="L16" s="176">
        <f t="shared" si="4"/>
        <v>0</v>
      </c>
    </row>
    <row r="17" ht="25" customHeight="1" spans="1:12">
      <c r="A17" s="171" t="s">
        <v>24</v>
      </c>
      <c r="B17" s="172" t="str">
        <f>'RESUMO '!B25:G25</f>
        <v>PINTURA</v>
      </c>
      <c r="C17" s="173">
        <f t="shared" si="0"/>
        <v>0.185769794402597</v>
      </c>
      <c r="D17" s="174">
        <f>'RESUMO '!H25</f>
        <v>65959.23</v>
      </c>
      <c r="E17" s="175">
        <v>0</v>
      </c>
      <c r="F17" s="176">
        <f t="shared" si="1"/>
        <v>0</v>
      </c>
      <c r="G17" s="175">
        <v>0</v>
      </c>
      <c r="H17" s="176">
        <f t="shared" si="2"/>
        <v>0</v>
      </c>
      <c r="I17" s="175">
        <v>0</v>
      </c>
      <c r="J17" s="176">
        <f t="shared" si="3"/>
        <v>0</v>
      </c>
      <c r="K17" s="175">
        <v>1</v>
      </c>
      <c r="L17" s="176">
        <f t="shared" si="4"/>
        <v>65959.23</v>
      </c>
    </row>
    <row r="18" ht="25" customHeight="1" spans="1:12">
      <c r="A18" s="171" t="s">
        <v>25</v>
      </c>
      <c r="B18" s="172" t="str">
        <f>'RESUMO '!B27:G27</f>
        <v>INSTALAÇÕES PLUVIAIS</v>
      </c>
      <c r="C18" s="173">
        <f t="shared" si="0"/>
        <v>0.00721299921567956</v>
      </c>
      <c r="D18" s="174">
        <f>'RESUMO '!H27</f>
        <v>2561.04</v>
      </c>
      <c r="E18" s="175">
        <v>0</v>
      </c>
      <c r="F18" s="176">
        <f t="shared" si="1"/>
        <v>0</v>
      </c>
      <c r="G18" s="175">
        <v>0.5</v>
      </c>
      <c r="H18" s="176">
        <f t="shared" si="2"/>
        <v>1280.52</v>
      </c>
      <c r="I18" s="175">
        <v>0.5</v>
      </c>
      <c r="J18" s="176">
        <f t="shared" si="3"/>
        <v>1280.52</v>
      </c>
      <c r="K18" s="175">
        <v>0</v>
      </c>
      <c r="L18" s="176">
        <f t="shared" si="4"/>
        <v>0</v>
      </c>
    </row>
    <row r="19" ht="32" customHeight="1" spans="1:12">
      <c r="A19" s="171">
        <v>10</v>
      </c>
      <c r="B19" s="172" t="str">
        <f>'RESUMO '!B29:G29</f>
        <v>INSTALAÇÕES HIDRÁULICAS</v>
      </c>
      <c r="C19" s="173">
        <f t="shared" si="0"/>
        <v>0.0492658177109514</v>
      </c>
      <c r="D19" s="174">
        <f>'RESUMO '!H29</f>
        <v>17492.27</v>
      </c>
      <c r="E19" s="175">
        <v>0</v>
      </c>
      <c r="F19" s="176">
        <f t="shared" si="1"/>
        <v>0</v>
      </c>
      <c r="G19" s="175">
        <v>1</v>
      </c>
      <c r="H19" s="176">
        <f t="shared" si="2"/>
        <v>17492.27</v>
      </c>
      <c r="I19" s="175">
        <v>0</v>
      </c>
      <c r="J19" s="176">
        <f t="shared" si="3"/>
        <v>0</v>
      </c>
      <c r="K19" s="175">
        <v>0</v>
      </c>
      <c r="L19" s="176">
        <f t="shared" si="4"/>
        <v>0</v>
      </c>
    </row>
    <row r="20" ht="8" customHeight="1" spans="1:12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86"/>
      <c r="L20" s="186"/>
    </row>
    <row r="21" ht="27" customHeight="1" spans="1:13">
      <c r="A21" s="179" t="s">
        <v>219</v>
      </c>
      <c r="B21" s="179"/>
      <c r="C21" s="179"/>
      <c r="D21" s="180">
        <f>SUM(D10:D19)</f>
        <v>355058.96</v>
      </c>
      <c r="E21" s="181">
        <f>F21/D22</f>
        <v>0.0969350343038801</v>
      </c>
      <c r="F21" s="180">
        <f>SUM(F10:F20)</f>
        <v>34417.6524675</v>
      </c>
      <c r="G21" s="181">
        <f>H21/D22</f>
        <v>0.330365096356109</v>
      </c>
      <c r="H21" s="180">
        <f>SUM(H10:H20)</f>
        <v>117299.0875325</v>
      </c>
      <c r="I21" s="181">
        <f>J21/D22</f>
        <v>0.328037644790037</v>
      </c>
      <c r="J21" s="180">
        <f>SUM(J10:J20)</f>
        <v>116472.705</v>
      </c>
      <c r="K21" s="181">
        <f>L21/D22</f>
        <v>0.244662224549973</v>
      </c>
      <c r="L21" s="180">
        <f>SUM(L10:L19)</f>
        <v>86869.515</v>
      </c>
      <c r="M21" s="187"/>
    </row>
    <row r="22" ht="27" customHeight="1" spans="1:12">
      <c r="A22" s="179" t="s">
        <v>220</v>
      </c>
      <c r="B22" s="179"/>
      <c r="C22" s="179"/>
      <c r="D22" s="180">
        <f t="shared" ref="D22:F22" si="5">D21</f>
        <v>355058.96</v>
      </c>
      <c r="E22" s="181">
        <f t="shared" si="5"/>
        <v>0.0969350343038801</v>
      </c>
      <c r="F22" s="180">
        <f t="shared" si="5"/>
        <v>34417.6524675</v>
      </c>
      <c r="G22" s="181">
        <f>G21+E22</f>
        <v>0.42730013065999</v>
      </c>
      <c r="H22" s="180">
        <f>F22+H21</f>
        <v>151716.74</v>
      </c>
      <c r="I22" s="188">
        <f>I21+G22</f>
        <v>0.755337775450027</v>
      </c>
      <c r="J22" s="180">
        <f>J21+H22</f>
        <v>268189.445</v>
      </c>
      <c r="K22" s="188">
        <f>K21+I22</f>
        <v>1</v>
      </c>
      <c r="L22" s="180">
        <f>L21+J22</f>
        <v>355058.96</v>
      </c>
    </row>
    <row r="23" ht="29" customHeight="1" spans="1:12">
      <c r="A23" s="182" t="str">
        <f>'RESUMO '!C32</f>
        <v>Trezentos e cinquenta e cinco mil, cinquenta e oito reais e noventa e seis centavos.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</row>
  </sheetData>
  <mergeCells count="17">
    <mergeCell ref="A1:L1"/>
    <mergeCell ref="A2:L2"/>
    <mergeCell ref="A3:L3"/>
    <mergeCell ref="A4:L4"/>
    <mergeCell ref="B5:L5"/>
    <mergeCell ref="B6:L6"/>
    <mergeCell ref="E7:F7"/>
    <mergeCell ref="G7:H7"/>
    <mergeCell ref="I7:J7"/>
    <mergeCell ref="K7:L7"/>
    <mergeCell ref="A20:J20"/>
    <mergeCell ref="A21:C21"/>
    <mergeCell ref="A22:C22"/>
    <mergeCell ref="A23:L23"/>
    <mergeCell ref="A7:A8"/>
    <mergeCell ref="B7:B8"/>
    <mergeCell ref="C7:C8"/>
  </mergeCells>
  <printOptions horizontalCentered="1"/>
  <pageMargins left="0.251388888888889" right="0.251388888888889" top="0.751388888888889" bottom="0.751388888888889" header="0.298611111111111" footer="0.298611111111111"/>
  <pageSetup paperSize="9" scale="78" orientation="landscape" horizontalDpi="600"/>
  <headerFooter/>
  <ignoredErrors>
    <ignoredError sqref="F10:L10;E21:J22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ilha8"/>
  <dimension ref="A1:H331"/>
  <sheetViews>
    <sheetView view="pageBreakPreview" zoomScale="26" zoomScaleNormal="100" workbookViewId="0">
      <selection activeCell="G100" sqref="G100"/>
    </sheetView>
  </sheetViews>
  <sheetFormatPr defaultColWidth="9" defaultRowHeight="12.75" outlineLevelCol="7"/>
  <cols>
    <col min="1" max="1" width="24.5" style="50" customWidth="1"/>
    <col min="2" max="2" width="13.3333333333333" style="50" customWidth="1"/>
    <col min="3" max="3" width="54.5" style="50" customWidth="1"/>
    <col min="4" max="4" width="9" style="50"/>
    <col min="5" max="5" width="10.6666666666667" style="50" customWidth="1"/>
    <col min="6" max="6" width="16.4444444444444" style="50" customWidth="1"/>
    <col min="7" max="7" width="14.6666666666667" style="50" customWidth="1"/>
    <col min="8" max="8" width="9.44444444444444" style="50" customWidth="1"/>
    <col min="9" max="16384" width="9" style="50"/>
  </cols>
  <sheetData>
    <row r="1" ht="73" customHeight="1" spans="1:7">
      <c r="A1" s="51" t="s">
        <v>0</v>
      </c>
      <c r="B1" s="52"/>
      <c r="C1" s="52"/>
      <c r="D1" s="52"/>
      <c r="E1" s="52"/>
      <c r="F1" s="52"/>
      <c r="G1" s="53"/>
    </row>
    <row r="2" ht="18.75" spans="1:7">
      <c r="A2" s="54" t="s">
        <v>1</v>
      </c>
      <c r="B2" s="55"/>
      <c r="C2" s="55"/>
      <c r="D2" s="55"/>
      <c r="E2" s="55"/>
      <c r="F2" s="55"/>
      <c r="G2" s="56"/>
    </row>
    <row r="3" ht="41" customHeight="1" spans="1:7">
      <c r="A3" s="57" t="s">
        <v>3</v>
      </c>
      <c r="B3" s="58" t="str">
        <f>'RESUMO '!C4</f>
        <v>CONTRATAÇÃO DE EMPRESA DE ENGENHARIA PARA A EXECUÇÃO DAS OBRAS DE REFORMA DA COBERTA DO PRÉDIO DA PREFEITURA DO MUNICÍPIO DE CAMARAGIBE - PE.</v>
      </c>
      <c r="C3" s="59"/>
      <c r="D3" s="59"/>
      <c r="E3" s="59"/>
      <c r="F3" s="59"/>
      <c r="G3" s="60"/>
    </row>
    <row r="4" ht="23" customHeight="1" spans="1:7">
      <c r="A4" s="57" t="s">
        <v>221</v>
      </c>
      <c r="B4" s="58" t="str">
        <f>'RESUMO '!C5</f>
        <v>Avenida Belmino Correia - Camaragibe – PE</v>
      </c>
      <c r="C4" s="59"/>
      <c r="D4" s="59"/>
      <c r="E4" s="59"/>
      <c r="F4" s="59"/>
      <c r="G4" s="60"/>
    </row>
    <row r="5" ht="31.5" spans="1:7">
      <c r="A5" s="57" t="s">
        <v>222</v>
      </c>
      <c r="B5" s="58" t="str">
        <f>'RESUMO '!C6</f>
        <v>Composições de Custo, Tabela SINAPI - PE JAN/2023 - Com Desoneração + (BDI 28,82%).</v>
      </c>
      <c r="C5" s="59"/>
      <c r="D5" s="59"/>
      <c r="E5" s="59"/>
      <c r="F5" s="59"/>
      <c r="G5" s="60"/>
    </row>
    <row r="6" ht="28" customHeight="1" spans="1:7">
      <c r="A6" s="61" t="s">
        <v>223</v>
      </c>
      <c r="B6" s="62"/>
      <c r="C6" s="62"/>
      <c r="D6" s="62"/>
      <c r="E6" s="62"/>
      <c r="F6" s="62"/>
      <c r="G6" s="63"/>
    </row>
    <row r="7" ht="22" customHeight="1" spans="1:7">
      <c r="A7" s="64" t="s">
        <v>224</v>
      </c>
      <c r="B7" s="65"/>
      <c r="C7" s="65"/>
      <c r="D7" s="65"/>
      <c r="E7" s="65"/>
      <c r="F7" s="65"/>
      <c r="G7" s="66"/>
    </row>
    <row r="8" ht="22" customHeight="1" spans="1:7">
      <c r="A8" s="67"/>
      <c r="B8" s="67"/>
      <c r="C8" s="67"/>
      <c r="D8" s="67"/>
      <c r="E8" s="68"/>
      <c r="F8" s="69" t="s">
        <v>225</v>
      </c>
      <c r="G8" s="70"/>
    </row>
    <row r="9" ht="16" customHeight="1" spans="1:7">
      <c r="A9" s="71"/>
      <c r="B9" s="71"/>
      <c r="C9" s="71"/>
      <c r="D9" s="71"/>
      <c r="E9" s="72" t="s">
        <v>226</v>
      </c>
      <c r="F9" s="72"/>
      <c r="G9" s="73">
        <v>44986</v>
      </c>
    </row>
    <row r="10" ht="16" customHeight="1" spans="1:7">
      <c r="A10" s="74" t="s">
        <v>227</v>
      </c>
      <c r="B10" s="74" t="s">
        <v>10</v>
      </c>
      <c r="C10" s="74" t="s">
        <v>40</v>
      </c>
      <c r="D10" s="74" t="s">
        <v>228</v>
      </c>
      <c r="E10" s="75" t="s">
        <v>229</v>
      </c>
      <c r="F10" s="76" t="s">
        <v>230</v>
      </c>
      <c r="G10" s="77"/>
    </row>
    <row r="11" ht="16" customHeight="1" spans="1:7">
      <c r="A11" s="78"/>
      <c r="B11" s="78"/>
      <c r="C11" s="78"/>
      <c r="D11" s="78"/>
      <c r="E11" s="79"/>
      <c r="F11" s="80" t="s">
        <v>231</v>
      </c>
      <c r="G11" s="80" t="s">
        <v>27</v>
      </c>
    </row>
    <row r="12" ht="16" customHeight="1" spans="1:7">
      <c r="A12" s="81"/>
      <c r="B12" s="81"/>
      <c r="C12" s="82" t="s">
        <v>232</v>
      </c>
      <c r="D12" s="83"/>
      <c r="E12" s="84"/>
      <c r="F12" s="85"/>
      <c r="G12" s="85"/>
    </row>
    <row r="13" ht="25.5" spans="1:7">
      <c r="A13" s="86" t="s">
        <v>233</v>
      </c>
      <c r="B13" s="391" t="s">
        <v>234</v>
      </c>
      <c r="C13" s="87" t="s">
        <v>235</v>
      </c>
      <c r="D13" s="80" t="s">
        <v>236</v>
      </c>
      <c r="E13" s="88">
        <v>0.14</v>
      </c>
      <c r="F13" s="89">
        <v>20.05</v>
      </c>
      <c r="G13" s="90">
        <f>ROUND(E13*F13,2)</f>
        <v>2.81</v>
      </c>
    </row>
    <row r="14" ht="25.5" spans="1:7">
      <c r="A14" s="86" t="s">
        <v>233</v>
      </c>
      <c r="B14" s="391" t="s">
        <v>237</v>
      </c>
      <c r="C14" s="87" t="s">
        <v>238</v>
      </c>
      <c r="D14" s="80" t="s">
        <v>239</v>
      </c>
      <c r="E14" s="91">
        <v>0.002</v>
      </c>
      <c r="F14" s="89">
        <v>14</v>
      </c>
      <c r="G14" s="90">
        <f>ROUND(E14*F14,2)</f>
        <v>0.03</v>
      </c>
    </row>
    <row r="15" spans="1:7">
      <c r="A15" s="92"/>
      <c r="B15" s="92"/>
      <c r="C15" s="93" t="s">
        <v>240</v>
      </c>
      <c r="D15" s="78"/>
      <c r="E15" s="94"/>
      <c r="F15" s="95"/>
      <c r="G15" s="96">
        <f>TRUNC(SUM(G13:G14),2)</f>
        <v>2.84</v>
      </c>
    </row>
    <row r="16" spans="1:7">
      <c r="A16" s="81"/>
      <c r="B16" s="81"/>
      <c r="C16" s="82" t="s">
        <v>241</v>
      </c>
      <c r="D16" s="83"/>
      <c r="E16" s="84"/>
      <c r="F16" s="85"/>
      <c r="G16" s="85"/>
    </row>
    <row r="17" ht="25.5" spans="1:7">
      <c r="A17" s="86" t="s">
        <v>242</v>
      </c>
      <c r="B17" s="80">
        <v>88316</v>
      </c>
      <c r="C17" s="87" t="s">
        <v>243</v>
      </c>
      <c r="D17" s="97" t="s">
        <v>59</v>
      </c>
      <c r="E17" s="88">
        <v>0.4</v>
      </c>
      <c r="F17" s="89">
        <v>18.42</v>
      </c>
      <c r="G17" s="98">
        <f>ROUND(E17*F17,2)</f>
        <v>7.37</v>
      </c>
    </row>
    <row r="18" spans="1:7">
      <c r="A18" s="92"/>
      <c r="B18" s="92"/>
      <c r="C18" s="93" t="s">
        <v>244</v>
      </c>
      <c r="D18" s="78"/>
      <c r="E18" s="94"/>
      <c r="F18" s="95"/>
      <c r="G18" s="96">
        <f>TRUNC(SUM(G17:G17),2)</f>
        <v>7.37</v>
      </c>
    </row>
    <row r="19" spans="1:7">
      <c r="A19" s="81" t="s">
        <v>245</v>
      </c>
      <c r="B19" s="81"/>
      <c r="C19" s="81"/>
      <c r="D19" s="81"/>
      <c r="E19" s="81"/>
      <c r="F19" s="81"/>
      <c r="G19" s="81"/>
    </row>
    <row r="20" spans="1:7">
      <c r="A20" s="99"/>
      <c r="B20" s="99"/>
      <c r="C20" s="99"/>
      <c r="D20" s="99"/>
      <c r="E20" s="99"/>
      <c r="F20" s="99"/>
      <c r="G20" s="99"/>
    </row>
    <row r="21" spans="1:7">
      <c r="A21" s="100" t="s">
        <v>246</v>
      </c>
      <c r="B21" s="100"/>
      <c r="C21" s="100"/>
      <c r="D21" s="101" t="s">
        <v>247</v>
      </c>
      <c r="E21" s="101"/>
      <c r="F21" s="101"/>
      <c r="G21" s="102">
        <f>TRUNC(SUM(G15,G18),2)</f>
        <v>10.21</v>
      </c>
    </row>
    <row r="22" spans="1:7">
      <c r="A22" s="100"/>
      <c r="B22" s="100"/>
      <c r="C22" s="100"/>
      <c r="D22" s="101" t="s">
        <v>248</v>
      </c>
      <c r="E22" s="101"/>
      <c r="F22" s="101"/>
      <c r="G22" s="102">
        <f>G21*1.2882</f>
        <v>13.152522</v>
      </c>
    </row>
    <row r="23" ht="20" customHeight="1" spans="1:7">
      <c r="A23" s="103" t="s">
        <v>249</v>
      </c>
      <c r="B23" s="104"/>
      <c r="C23" s="104"/>
      <c r="D23" s="104"/>
      <c r="E23" s="104"/>
      <c r="F23" s="104"/>
      <c r="G23" s="105"/>
    </row>
    <row r="24" ht="22" customHeight="1" spans="1:7">
      <c r="A24" s="64" t="s">
        <v>250</v>
      </c>
      <c r="B24" s="65"/>
      <c r="C24" s="65"/>
      <c r="D24" s="65"/>
      <c r="E24" s="65"/>
      <c r="F24" s="65"/>
      <c r="G24" s="66"/>
    </row>
    <row r="25" ht="22" customHeight="1" spans="1:7">
      <c r="A25" s="67"/>
      <c r="B25" s="67"/>
      <c r="C25" s="67"/>
      <c r="D25" s="67"/>
      <c r="E25" s="68"/>
      <c r="F25" s="69" t="s">
        <v>251</v>
      </c>
      <c r="G25" s="70"/>
    </row>
    <row r="26" ht="18" customHeight="1" spans="1:7">
      <c r="A26" s="71"/>
      <c r="B26" s="71"/>
      <c r="C26" s="71"/>
      <c r="D26" s="71"/>
      <c r="E26" s="72" t="s">
        <v>226</v>
      </c>
      <c r="F26" s="72"/>
      <c r="G26" s="73">
        <v>44986</v>
      </c>
    </row>
    <row r="27" ht="18" customHeight="1" spans="1:7">
      <c r="A27" s="74" t="s">
        <v>227</v>
      </c>
      <c r="B27" s="74" t="s">
        <v>10</v>
      </c>
      <c r="C27" s="74" t="s">
        <v>40</v>
      </c>
      <c r="D27" s="74" t="s">
        <v>228</v>
      </c>
      <c r="E27" s="75" t="s">
        <v>229</v>
      </c>
      <c r="F27" s="76" t="s">
        <v>230</v>
      </c>
      <c r="G27" s="77"/>
    </row>
    <row r="28" ht="15" customHeight="1" spans="1:8">
      <c r="A28" s="78"/>
      <c r="B28" s="78"/>
      <c r="C28" s="78"/>
      <c r="D28" s="78"/>
      <c r="E28" s="79"/>
      <c r="F28" s="80" t="s">
        <v>231</v>
      </c>
      <c r="G28" s="80" t="s">
        <v>27</v>
      </c>
      <c r="H28" s="106"/>
    </row>
    <row r="29" spans="1:8">
      <c r="A29" s="81"/>
      <c r="B29" s="81"/>
      <c r="C29" s="82" t="s">
        <v>252</v>
      </c>
      <c r="D29" s="83"/>
      <c r="E29" s="84"/>
      <c r="F29" s="85"/>
      <c r="G29" s="85"/>
      <c r="H29" s="107"/>
    </row>
    <row r="30" ht="99" customHeight="1" spans="1:8">
      <c r="A30" s="86" t="s">
        <v>233</v>
      </c>
      <c r="B30" s="80">
        <v>10527</v>
      </c>
      <c r="C30" s="87" t="s">
        <v>253</v>
      </c>
      <c r="D30" s="97" t="s">
        <v>254</v>
      </c>
      <c r="E30" s="108">
        <f>1*(1/30*(2/24))</f>
        <v>0.00277777777777778</v>
      </c>
      <c r="F30" s="89">
        <v>14.5</v>
      </c>
      <c r="G30" s="98">
        <f>ROUND(E30*F30,2)</f>
        <v>0.04</v>
      </c>
      <c r="H30" s="109" t="s">
        <v>255</v>
      </c>
    </row>
    <row r="31" ht="25.5" spans="1:8">
      <c r="A31" s="86" t="s">
        <v>242</v>
      </c>
      <c r="B31" s="80">
        <v>5795</v>
      </c>
      <c r="C31" s="87" t="s">
        <v>256</v>
      </c>
      <c r="D31" s="97" t="s">
        <v>257</v>
      </c>
      <c r="E31" s="110">
        <v>0.0699</v>
      </c>
      <c r="F31" s="89">
        <v>29.27</v>
      </c>
      <c r="G31" s="98">
        <f t="shared" ref="G31:G32" si="0">ROUND(E31*F31,2)</f>
        <v>2.05</v>
      </c>
      <c r="H31" s="109"/>
    </row>
    <row r="32" ht="25.5" spans="1:8">
      <c r="A32" s="86" t="s">
        <v>242</v>
      </c>
      <c r="B32" s="80" t="s">
        <v>258</v>
      </c>
      <c r="C32" s="87" t="s">
        <v>259</v>
      </c>
      <c r="D32" s="97" t="s">
        <v>260</v>
      </c>
      <c r="E32" s="110">
        <v>0.0482</v>
      </c>
      <c r="F32" s="89">
        <v>27.6</v>
      </c>
      <c r="G32" s="98">
        <f t="shared" si="0"/>
        <v>1.33</v>
      </c>
      <c r="H32" s="109"/>
    </row>
    <row r="33" spans="1:8">
      <c r="A33" s="92"/>
      <c r="B33" s="92"/>
      <c r="C33" s="93" t="s">
        <v>240</v>
      </c>
      <c r="D33" s="78"/>
      <c r="E33" s="94"/>
      <c r="F33" s="95"/>
      <c r="G33" s="96">
        <f>TRUNC(SUM(G30:G32),2)</f>
        <v>3.42</v>
      </c>
      <c r="H33" s="109"/>
    </row>
    <row r="34" spans="1:7">
      <c r="A34" s="81"/>
      <c r="B34" s="81"/>
      <c r="C34" s="82" t="s">
        <v>241</v>
      </c>
      <c r="D34" s="83"/>
      <c r="E34" s="84"/>
      <c r="F34" s="85"/>
      <c r="G34" s="85"/>
    </row>
    <row r="35" ht="25.5" spans="1:7">
      <c r="A35" s="86" t="s">
        <v>242</v>
      </c>
      <c r="B35" s="80">
        <v>88309</v>
      </c>
      <c r="C35" s="87" t="s">
        <v>261</v>
      </c>
      <c r="D35" s="86" t="s">
        <v>59</v>
      </c>
      <c r="E35" s="110">
        <f>0.1055</f>
        <v>0.1055</v>
      </c>
      <c r="F35" s="89">
        <v>22.71</v>
      </c>
      <c r="G35" s="98">
        <f>ROUND(E35*F35,2)</f>
        <v>2.4</v>
      </c>
    </row>
    <row r="36" ht="25.5" spans="1:7">
      <c r="A36" s="86" t="s">
        <v>242</v>
      </c>
      <c r="B36" s="80">
        <v>88316</v>
      </c>
      <c r="C36" s="87" t="s">
        <v>243</v>
      </c>
      <c r="D36" s="86" t="s">
        <v>59</v>
      </c>
      <c r="E36" s="110">
        <v>0.2972</v>
      </c>
      <c r="F36" s="89">
        <v>18.42</v>
      </c>
      <c r="G36" s="98">
        <f>ROUND(E36*F36,2)</f>
        <v>5.47</v>
      </c>
    </row>
    <row r="37" spans="1:7">
      <c r="A37" s="92"/>
      <c r="B37" s="92"/>
      <c r="C37" s="93" t="s">
        <v>244</v>
      </c>
      <c r="D37" s="78"/>
      <c r="E37" s="94"/>
      <c r="F37" s="95"/>
      <c r="G37" s="96">
        <f>TRUNC(SUM(G35:G36),2)</f>
        <v>7.87</v>
      </c>
    </row>
    <row r="38" spans="1:7">
      <c r="A38" s="81" t="s">
        <v>245</v>
      </c>
      <c r="B38" s="81"/>
      <c r="C38" s="81"/>
      <c r="D38" s="81"/>
      <c r="E38" s="81"/>
      <c r="F38" s="81"/>
      <c r="G38" s="81"/>
    </row>
    <row r="39" spans="1:7">
      <c r="A39" s="99"/>
      <c r="B39" s="99"/>
      <c r="C39" s="99"/>
      <c r="D39" s="99"/>
      <c r="E39" s="99"/>
      <c r="F39" s="99"/>
      <c r="G39" s="99"/>
    </row>
    <row r="40" spans="1:7">
      <c r="A40" s="100" t="s">
        <v>246</v>
      </c>
      <c r="B40" s="100"/>
      <c r="C40" s="100"/>
      <c r="D40" s="101" t="s">
        <v>247</v>
      </c>
      <c r="E40" s="101"/>
      <c r="F40" s="101"/>
      <c r="G40" s="102">
        <f>TRUNC(SUM(G33,G37),2)</f>
        <v>11.29</v>
      </c>
    </row>
    <row r="41" spans="1:7">
      <c r="A41" s="100"/>
      <c r="B41" s="100"/>
      <c r="C41" s="100"/>
      <c r="D41" s="101" t="s">
        <v>248</v>
      </c>
      <c r="E41" s="101"/>
      <c r="F41" s="101"/>
      <c r="G41" s="102">
        <f>G40*1.2882</f>
        <v>14.543778</v>
      </c>
    </row>
    <row r="42" ht="20" customHeight="1" spans="1:7">
      <c r="A42" s="103" t="s">
        <v>262</v>
      </c>
      <c r="B42" s="104"/>
      <c r="C42" s="104"/>
      <c r="D42" s="104"/>
      <c r="E42" s="104"/>
      <c r="F42" s="104"/>
      <c r="G42" s="105"/>
    </row>
    <row r="43" ht="25" customHeight="1" spans="1:7">
      <c r="A43" s="111" t="s">
        <v>263</v>
      </c>
      <c r="B43" s="112"/>
      <c r="C43" s="112"/>
      <c r="D43" s="112"/>
      <c r="E43" s="112"/>
      <c r="F43" s="112"/>
      <c r="G43" s="113"/>
    </row>
    <row r="44" ht="25" customHeight="1" spans="1:7">
      <c r="A44" s="67"/>
      <c r="B44" s="67"/>
      <c r="C44" s="67"/>
      <c r="D44" s="67"/>
      <c r="E44" s="68"/>
      <c r="F44" s="69" t="s">
        <v>264</v>
      </c>
      <c r="G44" s="70"/>
    </row>
    <row r="45" ht="19" customHeight="1" spans="1:7">
      <c r="A45" s="71"/>
      <c r="B45" s="71"/>
      <c r="C45" s="71"/>
      <c r="D45" s="71"/>
      <c r="E45" s="114" t="s">
        <v>226</v>
      </c>
      <c r="F45" s="114"/>
      <c r="G45" s="115">
        <v>44986</v>
      </c>
    </row>
    <row r="46" ht="17" customHeight="1" spans="1:7">
      <c r="A46" s="74" t="s">
        <v>227</v>
      </c>
      <c r="B46" s="74" t="s">
        <v>10</v>
      </c>
      <c r="C46" s="74" t="s">
        <v>40</v>
      </c>
      <c r="D46" s="74" t="s">
        <v>228</v>
      </c>
      <c r="E46" s="75" t="s">
        <v>229</v>
      </c>
      <c r="F46" s="76" t="s">
        <v>230</v>
      </c>
      <c r="G46" s="77"/>
    </row>
    <row r="47" ht="15" customHeight="1" spans="1:7">
      <c r="A47" s="78"/>
      <c r="B47" s="78"/>
      <c r="C47" s="78"/>
      <c r="D47" s="78"/>
      <c r="E47" s="79"/>
      <c r="F47" s="80" t="s">
        <v>231</v>
      </c>
      <c r="G47" s="80" t="s">
        <v>27</v>
      </c>
    </row>
    <row r="48" spans="1:7">
      <c r="A48" s="81"/>
      <c r="B48" s="81"/>
      <c r="C48" s="82" t="s">
        <v>241</v>
      </c>
      <c r="D48" s="83"/>
      <c r="E48" s="84"/>
      <c r="F48" s="85"/>
      <c r="G48" s="85"/>
    </row>
    <row r="49" ht="25.5" spans="1:7">
      <c r="A49" s="86" t="s">
        <v>242</v>
      </c>
      <c r="B49" s="80">
        <v>88309</v>
      </c>
      <c r="C49" s="87" t="s">
        <v>261</v>
      </c>
      <c r="D49" s="97" t="s">
        <v>59</v>
      </c>
      <c r="E49" s="88">
        <v>1.3</v>
      </c>
      <c r="F49" s="89">
        <v>22.71</v>
      </c>
      <c r="G49" s="98">
        <f>ROUND(E49*F49,2)</f>
        <v>29.52</v>
      </c>
    </row>
    <row r="50" ht="25.5" spans="1:7">
      <c r="A50" s="86" t="s">
        <v>242</v>
      </c>
      <c r="B50" s="80">
        <v>88316</v>
      </c>
      <c r="C50" s="87" t="s">
        <v>243</v>
      </c>
      <c r="D50" s="97" t="s">
        <v>59</v>
      </c>
      <c r="E50" s="88">
        <v>13</v>
      </c>
      <c r="F50" s="89">
        <v>18.42</v>
      </c>
      <c r="G50" s="98">
        <f>ROUND(E50*F50,2)</f>
        <v>239.46</v>
      </c>
    </row>
    <row r="51" spans="1:7">
      <c r="A51" s="92"/>
      <c r="B51" s="92"/>
      <c r="C51" s="93" t="s">
        <v>244</v>
      </c>
      <c r="D51" s="78"/>
      <c r="E51" s="94"/>
      <c r="F51" s="95"/>
      <c r="G51" s="96">
        <f>TRUNC(SUM(G49:G50),2)</f>
        <v>268.98</v>
      </c>
    </row>
    <row r="52" spans="1:7">
      <c r="A52" s="81" t="s">
        <v>245</v>
      </c>
      <c r="B52" s="81"/>
      <c r="C52" s="81"/>
      <c r="D52" s="81"/>
      <c r="E52" s="81"/>
      <c r="F52" s="81"/>
      <c r="G52" s="81"/>
    </row>
    <row r="53" spans="1:7">
      <c r="A53" s="99"/>
      <c r="B53" s="99"/>
      <c r="C53" s="99"/>
      <c r="D53" s="99"/>
      <c r="E53" s="99"/>
      <c r="F53" s="99"/>
      <c r="G53" s="99"/>
    </row>
    <row r="54" spans="1:7">
      <c r="A54" s="100" t="s">
        <v>246</v>
      </c>
      <c r="B54" s="100"/>
      <c r="C54" s="100"/>
      <c r="D54" s="101" t="s">
        <v>247</v>
      </c>
      <c r="E54" s="101"/>
      <c r="F54" s="101"/>
      <c r="G54" s="102">
        <f>TRUNC(SUM(G51),2)</f>
        <v>268.98</v>
      </c>
    </row>
    <row r="55" spans="1:7">
      <c r="A55" s="100"/>
      <c r="B55" s="100"/>
      <c r="C55" s="100"/>
      <c r="D55" s="101" t="s">
        <v>248</v>
      </c>
      <c r="E55" s="101"/>
      <c r="F55" s="101"/>
      <c r="G55" s="102">
        <f>G54*1.2882</f>
        <v>346.500036</v>
      </c>
    </row>
    <row r="56" ht="18" customHeight="1" spans="1:7">
      <c r="A56" s="116" t="s">
        <v>265</v>
      </c>
      <c r="B56" s="117"/>
      <c r="C56" s="117"/>
      <c r="D56" s="117"/>
      <c r="E56" s="117"/>
      <c r="F56" s="117"/>
      <c r="G56" s="118"/>
    </row>
    <row r="57" ht="30" customHeight="1" spans="1:7">
      <c r="A57" s="111" t="s">
        <v>266</v>
      </c>
      <c r="B57" s="112"/>
      <c r="C57" s="112"/>
      <c r="D57" s="112"/>
      <c r="E57" s="112"/>
      <c r="F57" s="112"/>
      <c r="G57" s="113"/>
    </row>
    <row r="58" ht="21" customHeight="1" spans="1:7">
      <c r="A58" s="67"/>
      <c r="B58" s="67"/>
      <c r="C58" s="67"/>
      <c r="D58" s="67"/>
      <c r="E58" s="68"/>
      <c r="F58" s="69" t="s">
        <v>267</v>
      </c>
      <c r="G58" s="70"/>
    </row>
    <row r="59" spans="1:7">
      <c r="A59" s="71"/>
      <c r="B59" s="71"/>
      <c r="C59" s="71"/>
      <c r="D59" s="71"/>
      <c r="E59" s="114" t="s">
        <v>226</v>
      </c>
      <c r="F59" s="114"/>
      <c r="G59" s="115">
        <v>44986</v>
      </c>
    </row>
    <row r="60" spans="1:7">
      <c r="A60" s="74" t="s">
        <v>227</v>
      </c>
      <c r="B60" s="74" t="s">
        <v>10</v>
      </c>
      <c r="C60" s="74" t="s">
        <v>40</v>
      </c>
      <c r="D60" s="74" t="s">
        <v>228</v>
      </c>
      <c r="E60" s="75" t="s">
        <v>229</v>
      </c>
      <c r="F60" s="76" t="s">
        <v>230</v>
      </c>
      <c r="G60" s="77"/>
    </row>
    <row r="61" ht="15" customHeight="1" spans="1:7">
      <c r="A61" s="78"/>
      <c r="B61" s="78"/>
      <c r="C61" s="78"/>
      <c r="D61" s="78"/>
      <c r="E61" s="79"/>
      <c r="F61" s="80" t="s">
        <v>231</v>
      </c>
      <c r="G61" s="80" t="s">
        <v>27</v>
      </c>
    </row>
    <row r="62" spans="1:7">
      <c r="A62" s="81"/>
      <c r="B62" s="81"/>
      <c r="C62" s="82" t="s">
        <v>268</v>
      </c>
      <c r="D62" s="83"/>
      <c r="E62" s="84"/>
      <c r="F62" s="85"/>
      <c r="G62" s="85"/>
    </row>
    <row r="63" ht="38.25" spans="1:7">
      <c r="A63" s="86" t="s">
        <v>242</v>
      </c>
      <c r="B63" s="119">
        <v>93281</v>
      </c>
      <c r="C63" s="87" t="s">
        <v>269</v>
      </c>
      <c r="D63" s="87" t="s">
        <v>257</v>
      </c>
      <c r="E63" s="110">
        <f>0.0372</f>
        <v>0.0372</v>
      </c>
      <c r="F63" s="120">
        <v>27.8</v>
      </c>
      <c r="G63" s="121">
        <f>ROUND(E63*F63,2)</f>
        <v>1.03</v>
      </c>
    </row>
    <row r="64" ht="38.25" spans="1:7">
      <c r="A64" s="86" t="s">
        <v>242</v>
      </c>
      <c r="B64" s="119">
        <v>93282</v>
      </c>
      <c r="C64" s="87" t="s">
        <v>270</v>
      </c>
      <c r="D64" s="87" t="s">
        <v>260</v>
      </c>
      <c r="E64" s="110">
        <f>0.0516</f>
        <v>0.0516</v>
      </c>
      <c r="F64" s="120">
        <v>26.74</v>
      </c>
      <c r="G64" s="121">
        <f>ROUND(E64*F64,2)</f>
        <v>1.38</v>
      </c>
    </row>
    <row r="65" spans="1:7">
      <c r="A65" s="92"/>
      <c r="B65" s="92"/>
      <c r="C65" s="93" t="s">
        <v>271</v>
      </c>
      <c r="D65" s="78"/>
      <c r="E65" s="94"/>
      <c r="F65" s="95"/>
      <c r="G65" s="96">
        <f>TRUNC(SUM(G63:G64),2)</f>
        <v>2.41</v>
      </c>
    </row>
    <row r="66" spans="1:7">
      <c r="A66" s="81"/>
      <c r="B66" s="81"/>
      <c r="C66" s="82" t="s">
        <v>241</v>
      </c>
      <c r="D66" s="83"/>
      <c r="E66" s="84"/>
      <c r="F66" s="85"/>
      <c r="G66" s="85"/>
    </row>
    <row r="67" ht="25.5" spans="1:7">
      <c r="A67" s="86" t="s">
        <v>242</v>
      </c>
      <c r="B67" s="119" t="s">
        <v>272</v>
      </c>
      <c r="C67" s="87" t="s">
        <v>243</v>
      </c>
      <c r="D67" s="86" t="s">
        <v>59</v>
      </c>
      <c r="E67" s="110">
        <f>0.2086</f>
        <v>0.2086</v>
      </c>
      <c r="F67" s="89">
        <v>18.42</v>
      </c>
      <c r="G67" s="98">
        <f>ROUND(E67*F67,2)</f>
        <v>3.84</v>
      </c>
    </row>
    <row r="68" ht="25.5" spans="1:7">
      <c r="A68" s="86" t="s">
        <v>242</v>
      </c>
      <c r="B68" s="119">
        <v>88323</v>
      </c>
      <c r="C68" s="87" t="s">
        <v>273</v>
      </c>
      <c r="D68" s="86" t="s">
        <v>59</v>
      </c>
      <c r="E68" s="110">
        <f>0.1062</f>
        <v>0.1062</v>
      </c>
      <c r="F68" s="89">
        <v>22.15</v>
      </c>
      <c r="G68" s="98">
        <f>ROUND(E68*F68,2)</f>
        <v>2.35</v>
      </c>
    </row>
    <row r="69" spans="1:7">
      <c r="A69" s="92"/>
      <c r="B69" s="92"/>
      <c r="C69" s="93" t="s">
        <v>244</v>
      </c>
      <c r="D69" s="78"/>
      <c r="E69" s="94"/>
      <c r="F69" s="95"/>
      <c r="G69" s="96">
        <f>TRUNC(SUM(G67:G68),2)</f>
        <v>6.19</v>
      </c>
    </row>
    <row r="70" spans="1:7">
      <c r="A70" s="81" t="s">
        <v>245</v>
      </c>
      <c r="B70" s="81"/>
      <c r="C70" s="81"/>
      <c r="D70" s="81"/>
      <c r="E70" s="81"/>
      <c r="F70" s="81"/>
      <c r="G70" s="81"/>
    </row>
    <row r="71" spans="1:7">
      <c r="A71" s="99"/>
      <c r="B71" s="99"/>
      <c r="C71" s="99"/>
      <c r="D71" s="99"/>
      <c r="E71" s="99"/>
      <c r="F71" s="99"/>
      <c r="G71" s="99"/>
    </row>
    <row r="72" spans="1:7">
      <c r="A72" s="100" t="s">
        <v>246</v>
      </c>
      <c r="B72" s="100"/>
      <c r="C72" s="100"/>
      <c r="D72" s="101" t="s">
        <v>247</v>
      </c>
      <c r="E72" s="101"/>
      <c r="F72" s="101"/>
      <c r="G72" s="102">
        <f>TRUNC(SUM(G65,G69),2)</f>
        <v>8.6</v>
      </c>
    </row>
    <row r="73" spans="1:7">
      <c r="A73" s="100"/>
      <c r="B73" s="100"/>
      <c r="C73" s="100"/>
      <c r="D73" s="101" t="s">
        <v>248</v>
      </c>
      <c r="E73" s="101"/>
      <c r="F73" s="101"/>
      <c r="G73" s="102">
        <f>G72*1.2882</f>
        <v>11.07852</v>
      </c>
    </row>
    <row r="74" ht="16" customHeight="1" spans="1:7">
      <c r="A74" s="122" t="s">
        <v>274</v>
      </c>
      <c r="B74" s="123"/>
      <c r="C74" s="123"/>
      <c r="D74" s="123"/>
      <c r="E74" s="123"/>
      <c r="F74" s="123"/>
      <c r="G74" s="124"/>
    </row>
    <row r="75" ht="31" customHeight="1" spans="1:7">
      <c r="A75" s="111" t="s">
        <v>275</v>
      </c>
      <c r="B75" s="112"/>
      <c r="C75" s="112"/>
      <c r="D75" s="112"/>
      <c r="E75" s="112"/>
      <c r="F75" s="112"/>
      <c r="G75" s="113"/>
    </row>
    <row r="76" ht="22" customHeight="1" spans="1:7">
      <c r="A76" s="67"/>
      <c r="B76" s="67"/>
      <c r="C76" s="67"/>
      <c r="D76" s="67"/>
      <c r="E76" s="68"/>
      <c r="F76" s="69" t="s">
        <v>276</v>
      </c>
      <c r="G76" s="70"/>
    </row>
    <row r="77" spans="1:7">
      <c r="A77" s="71"/>
      <c r="B77" s="71"/>
      <c r="C77" s="71"/>
      <c r="D77" s="71"/>
      <c r="E77" s="114" t="s">
        <v>226</v>
      </c>
      <c r="F77" s="114"/>
      <c r="G77" s="125">
        <v>44986</v>
      </c>
    </row>
    <row r="78" ht="15" customHeight="1" spans="1:7">
      <c r="A78" s="74" t="s">
        <v>227</v>
      </c>
      <c r="B78" s="74" t="s">
        <v>10</v>
      </c>
      <c r="C78" s="74" t="s">
        <v>40</v>
      </c>
      <c r="D78" s="74" t="s">
        <v>228</v>
      </c>
      <c r="E78" s="75" t="s">
        <v>229</v>
      </c>
      <c r="F78" s="76" t="s">
        <v>230</v>
      </c>
      <c r="G78" s="77"/>
    </row>
    <row r="79" ht="16" customHeight="1" spans="1:7">
      <c r="A79" s="78"/>
      <c r="B79" s="78"/>
      <c r="C79" s="78"/>
      <c r="D79" s="78"/>
      <c r="E79" s="79"/>
      <c r="F79" s="80" t="s">
        <v>231</v>
      </c>
      <c r="G79" s="80" t="s">
        <v>27</v>
      </c>
    </row>
    <row r="80" spans="1:7">
      <c r="A80" s="81"/>
      <c r="B80" s="81"/>
      <c r="C80" s="82" t="s">
        <v>232</v>
      </c>
      <c r="D80" s="83"/>
      <c r="E80" s="84"/>
      <c r="F80" s="85"/>
      <c r="G80" s="126"/>
    </row>
    <row r="81" ht="25.5" spans="1:7">
      <c r="A81" s="86" t="s">
        <v>233</v>
      </c>
      <c r="B81" s="80">
        <v>43132</v>
      </c>
      <c r="C81" s="87" t="s">
        <v>277</v>
      </c>
      <c r="D81" s="80" t="s">
        <v>278</v>
      </c>
      <c r="E81" s="127">
        <v>1.4</v>
      </c>
      <c r="F81" s="89">
        <v>27</v>
      </c>
      <c r="G81" s="90">
        <f t="shared" ref="G81:G86" si="1">E81*F81</f>
        <v>37.8</v>
      </c>
    </row>
    <row r="82" ht="25.5" spans="1:7">
      <c r="A82" s="86" t="s">
        <v>233</v>
      </c>
      <c r="B82" s="80">
        <v>5069</v>
      </c>
      <c r="C82" s="87" t="s">
        <v>279</v>
      </c>
      <c r="D82" s="80" t="s">
        <v>278</v>
      </c>
      <c r="E82" s="127">
        <v>3</v>
      </c>
      <c r="F82" s="89">
        <v>22.81</v>
      </c>
      <c r="G82" s="90">
        <f t="shared" si="1"/>
        <v>68.43</v>
      </c>
    </row>
    <row r="83" ht="25.5" spans="1:7">
      <c r="A83" s="86" t="s">
        <v>233</v>
      </c>
      <c r="B83" s="80">
        <v>43055</v>
      </c>
      <c r="C83" s="87" t="s">
        <v>280</v>
      </c>
      <c r="D83" s="80" t="s">
        <v>281</v>
      </c>
      <c r="E83" s="127">
        <v>80.5</v>
      </c>
      <c r="F83" s="89">
        <v>9.86</v>
      </c>
      <c r="G83" s="90">
        <f t="shared" si="1"/>
        <v>793.73</v>
      </c>
    </row>
    <row r="84" ht="38.25" spans="1:7">
      <c r="A84" s="86" t="s">
        <v>233</v>
      </c>
      <c r="B84" s="80">
        <v>43614</v>
      </c>
      <c r="C84" s="87" t="s">
        <v>282</v>
      </c>
      <c r="D84" s="80" t="s">
        <v>70</v>
      </c>
      <c r="E84" s="127">
        <v>36.36</v>
      </c>
      <c r="F84" s="89">
        <v>17.99</v>
      </c>
      <c r="G84" s="90">
        <f t="shared" si="1"/>
        <v>654.1164</v>
      </c>
    </row>
    <row r="85" ht="38.25" spans="1:7">
      <c r="A85" s="86" t="s">
        <v>233</v>
      </c>
      <c r="B85" s="80">
        <v>4415</v>
      </c>
      <c r="C85" s="87" t="s">
        <v>283</v>
      </c>
      <c r="D85" s="80" t="s">
        <v>70</v>
      </c>
      <c r="E85" s="127">
        <v>23.88</v>
      </c>
      <c r="F85" s="89">
        <v>5.86</v>
      </c>
      <c r="G85" s="90">
        <f t="shared" si="1"/>
        <v>139.9368</v>
      </c>
    </row>
    <row r="86" ht="25.5" spans="1:7">
      <c r="A86" s="86" t="s">
        <v>233</v>
      </c>
      <c r="B86" s="80">
        <v>4513</v>
      </c>
      <c r="C86" s="87" t="s">
        <v>284</v>
      </c>
      <c r="D86" s="80" t="s">
        <v>70</v>
      </c>
      <c r="E86" s="127">
        <v>12</v>
      </c>
      <c r="F86" s="89">
        <v>7.07</v>
      </c>
      <c r="G86" s="90">
        <f t="shared" si="1"/>
        <v>84.84</v>
      </c>
    </row>
    <row r="87" spans="1:7">
      <c r="A87" s="92"/>
      <c r="B87" s="92"/>
      <c r="C87" s="93" t="s">
        <v>240</v>
      </c>
      <c r="D87" s="78"/>
      <c r="E87" s="94"/>
      <c r="F87" s="95"/>
      <c r="G87" s="128">
        <f>TRUNC(SUM(G81:G86),2)</f>
        <v>1778.85</v>
      </c>
    </row>
    <row r="88" spans="1:7">
      <c r="A88" s="81"/>
      <c r="B88" s="81"/>
      <c r="C88" s="82" t="s">
        <v>268</v>
      </c>
      <c r="D88" s="83"/>
      <c r="E88" s="84"/>
      <c r="F88" s="85"/>
      <c r="G88" s="126"/>
    </row>
    <row r="89" ht="51" spans="1:7">
      <c r="A89" s="86" t="s">
        <v>242</v>
      </c>
      <c r="B89" s="80">
        <v>90284</v>
      </c>
      <c r="C89" s="87" t="s">
        <v>285</v>
      </c>
      <c r="D89" s="80" t="s">
        <v>102</v>
      </c>
      <c r="E89" s="127">
        <v>1</v>
      </c>
      <c r="F89" s="89">
        <v>591.54</v>
      </c>
      <c r="G89" s="90">
        <f>E89*F89</f>
        <v>591.54</v>
      </c>
    </row>
    <row r="90" spans="1:7">
      <c r="A90" s="92"/>
      <c r="B90" s="92"/>
      <c r="C90" s="93" t="s">
        <v>271</v>
      </c>
      <c r="D90" s="78"/>
      <c r="E90" s="94"/>
      <c r="F90" s="95"/>
      <c r="G90" s="128">
        <f>TRUNC(SUM(G89),2)</f>
        <v>591.54</v>
      </c>
    </row>
    <row r="91" spans="1:7">
      <c r="A91" s="81"/>
      <c r="B91" s="81"/>
      <c r="C91" s="82" t="s">
        <v>241</v>
      </c>
      <c r="D91" s="83"/>
      <c r="E91" s="84"/>
      <c r="F91" s="85"/>
      <c r="G91" s="126"/>
    </row>
    <row r="92" ht="25.5" spans="1:7">
      <c r="A92" s="86" t="s">
        <v>242</v>
      </c>
      <c r="B92" s="80">
        <v>88241</v>
      </c>
      <c r="C92" s="87" t="s">
        <v>286</v>
      </c>
      <c r="D92" s="97" t="s">
        <v>59</v>
      </c>
      <c r="E92" s="88">
        <v>6.3</v>
      </c>
      <c r="F92" s="89">
        <v>20.54</v>
      </c>
      <c r="G92" s="90">
        <f t="shared" ref="G92:G96" si="2">ROUND(E92*F92,2)</f>
        <v>129.4</v>
      </c>
    </row>
    <row r="93" ht="25.5" spans="1:7">
      <c r="A93" s="86" t="s">
        <v>242</v>
      </c>
      <c r="B93" s="80">
        <v>88309</v>
      </c>
      <c r="C93" s="87" t="s">
        <v>261</v>
      </c>
      <c r="D93" s="97" t="s">
        <v>59</v>
      </c>
      <c r="E93" s="88">
        <v>6</v>
      </c>
      <c r="F93" s="89">
        <v>22.71</v>
      </c>
      <c r="G93" s="90">
        <f t="shared" si="2"/>
        <v>136.26</v>
      </c>
    </row>
    <row r="94" ht="25.5" spans="1:7">
      <c r="A94" s="86" t="s">
        <v>242</v>
      </c>
      <c r="B94" s="80">
        <v>88245</v>
      </c>
      <c r="C94" s="87" t="s">
        <v>287</v>
      </c>
      <c r="D94" s="97" t="s">
        <v>59</v>
      </c>
      <c r="E94" s="88">
        <v>6.3</v>
      </c>
      <c r="F94" s="89">
        <v>22.54</v>
      </c>
      <c r="G94" s="90">
        <f t="shared" si="2"/>
        <v>142</v>
      </c>
    </row>
    <row r="95" ht="25.5" spans="1:7">
      <c r="A95" s="86" t="s">
        <v>242</v>
      </c>
      <c r="B95" s="80">
        <v>88262</v>
      </c>
      <c r="C95" s="87" t="s">
        <v>288</v>
      </c>
      <c r="D95" s="97" t="s">
        <v>59</v>
      </c>
      <c r="E95" s="88">
        <v>19.2</v>
      </c>
      <c r="F95" s="89">
        <v>22.36</v>
      </c>
      <c r="G95" s="90">
        <f t="shared" si="2"/>
        <v>429.31</v>
      </c>
    </row>
    <row r="96" ht="25.5" spans="1:7">
      <c r="A96" s="86" t="s">
        <v>242</v>
      </c>
      <c r="B96" s="80">
        <v>88316</v>
      </c>
      <c r="C96" s="87" t="s">
        <v>243</v>
      </c>
      <c r="D96" s="97" t="s">
        <v>59</v>
      </c>
      <c r="E96" s="88">
        <v>42.4</v>
      </c>
      <c r="F96" s="89">
        <v>18.42</v>
      </c>
      <c r="G96" s="98">
        <f t="shared" si="2"/>
        <v>781.01</v>
      </c>
    </row>
    <row r="97" spans="1:7">
      <c r="A97" s="92"/>
      <c r="B97" s="92"/>
      <c r="C97" s="93" t="s">
        <v>244</v>
      </c>
      <c r="D97" s="78"/>
      <c r="E97" s="94"/>
      <c r="F97" s="95"/>
      <c r="G97" s="128">
        <f>TRUNC(SUM(G92:G96),2)</f>
        <v>1617.98</v>
      </c>
    </row>
    <row r="98" spans="1:7">
      <c r="A98" s="81" t="s">
        <v>245</v>
      </c>
      <c r="B98" s="81"/>
      <c r="C98" s="81"/>
      <c r="D98" s="81"/>
      <c r="E98" s="81"/>
      <c r="F98" s="81"/>
      <c r="G98" s="81"/>
    </row>
    <row r="99" spans="1:7">
      <c r="A99" s="99"/>
      <c r="B99" s="99"/>
      <c r="C99" s="99"/>
      <c r="D99" s="99"/>
      <c r="E99" s="99"/>
      <c r="F99" s="99"/>
      <c r="G99" s="99"/>
    </row>
    <row r="100" spans="1:7">
      <c r="A100" s="100" t="s">
        <v>246</v>
      </c>
      <c r="B100" s="100"/>
      <c r="C100" s="100"/>
      <c r="D100" s="101" t="s">
        <v>247</v>
      </c>
      <c r="E100" s="101"/>
      <c r="F100" s="101"/>
      <c r="G100" s="129">
        <f>TRUNC(SUM(G97,G90,G87),2)</f>
        <v>3988.37</v>
      </c>
    </row>
    <row r="101" spans="1:7">
      <c r="A101" s="100"/>
      <c r="B101" s="100"/>
      <c r="C101" s="100"/>
      <c r="D101" s="101" t="s">
        <v>248</v>
      </c>
      <c r="E101" s="101"/>
      <c r="F101" s="101"/>
      <c r="G101" s="129">
        <f>G100*1.2882</f>
        <v>5137.818234</v>
      </c>
    </row>
    <row r="102" ht="16" customHeight="1" spans="1:7">
      <c r="A102" s="130" t="s">
        <v>289</v>
      </c>
      <c r="B102" s="131"/>
      <c r="C102" s="131"/>
      <c r="D102" s="131"/>
      <c r="E102" s="131"/>
      <c r="F102" s="131"/>
      <c r="G102" s="132"/>
    </row>
    <row r="103" ht="38" customHeight="1" spans="1:7">
      <c r="A103" s="111" t="s">
        <v>290</v>
      </c>
      <c r="B103" s="112"/>
      <c r="C103" s="112"/>
      <c r="D103" s="112"/>
      <c r="E103" s="112"/>
      <c r="F103" s="112"/>
      <c r="G103" s="113"/>
    </row>
    <row r="104" ht="22" customHeight="1" spans="1:7">
      <c r="A104" s="67"/>
      <c r="B104" s="67"/>
      <c r="C104" s="67"/>
      <c r="D104" s="67"/>
      <c r="E104" s="68"/>
      <c r="F104" s="69" t="s">
        <v>291</v>
      </c>
      <c r="G104" s="70"/>
    </row>
    <row r="105" ht="14" customHeight="1" spans="1:7">
      <c r="A105" s="71"/>
      <c r="B105" s="71"/>
      <c r="C105" s="71"/>
      <c r="D105" s="71"/>
      <c r="E105" s="114" t="s">
        <v>226</v>
      </c>
      <c r="F105" s="114"/>
      <c r="G105" s="115">
        <v>44986</v>
      </c>
    </row>
    <row r="106" ht="14" customHeight="1" spans="1:7">
      <c r="A106" s="74" t="s">
        <v>227</v>
      </c>
      <c r="B106" s="74" t="s">
        <v>10</v>
      </c>
      <c r="C106" s="74" t="s">
        <v>40</v>
      </c>
      <c r="D106" s="74" t="s">
        <v>228</v>
      </c>
      <c r="E106" s="75" t="s">
        <v>229</v>
      </c>
      <c r="F106" s="76" t="s">
        <v>230</v>
      </c>
      <c r="G106" s="77"/>
    </row>
    <row r="107" spans="1:7">
      <c r="A107" s="78"/>
      <c r="B107" s="78"/>
      <c r="C107" s="78"/>
      <c r="D107" s="78"/>
      <c r="E107" s="79"/>
      <c r="F107" s="80" t="s">
        <v>231</v>
      </c>
      <c r="G107" s="80" t="s">
        <v>27</v>
      </c>
    </row>
    <row r="108" spans="1:7">
      <c r="A108" s="81"/>
      <c r="B108" s="81"/>
      <c r="C108" s="82" t="s">
        <v>232</v>
      </c>
      <c r="D108" s="83"/>
      <c r="E108" s="84"/>
      <c r="F108" s="85"/>
      <c r="G108" s="85"/>
    </row>
    <row r="109" ht="25.5" spans="1:7">
      <c r="A109" s="86" t="s">
        <v>233</v>
      </c>
      <c r="B109" s="80">
        <v>1379</v>
      </c>
      <c r="C109" s="87" t="s">
        <v>292</v>
      </c>
      <c r="D109" s="80" t="s">
        <v>278</v>
      </c>
      <c r="E109" s="127">
        <v>3.44</v>
      </c>
      <c r="F109" s="89">
        <v>0.7</v>
      </c>
      <c r="G109" s="90">
        <f>ROUND(E109*F109,2)</f>
        <v>2.41</v>
      </c>
    </row>
    <row r="110" ht="25.5" spans="1:7">
      <c r="A110" s="86" t="s">
        <v>233</v>
      </c>
      <c r="B110" s="80">
        <v>367</v>
      </c>
      <c r="C110" s="87" t="s">
        <v>293</v>
      </c>
      <c r="D110" s="80" t="s">
        <v>102</v>
      </c>
      <c r="E110" s="127">
        <v>0.01</v>
      </c>
      <c r="F110" s="89">
        <v>130.68</v>
      </c>
      <c r="G110" s="90">
        <f>ROUND(E110*F110,2)</f>
        <v>1.31</v>
      </c>
    </row>
    <row r="111" spans="1:7">
      <c r="A111" s="92"/>
      <c r="B111" s="92"/>
      <c r="C111" s="93" t="s">
        <v>240</v>
      </c>
      <c r="D111" s="78"/>
      <c r="E111" s="94"/>
      <c r="F111" s="95"/>
      <c r="G111" s="96">
        <f>TRUNC(SUM(G109:G110),2)</f>
        <v>3.72</v>
      </c>
    </row>
    <row r="112" spans="1:7">
      <c r="A112" s="81"/>
      <c r="B112" s="81"/>
      <c r="C112" s="82" t="s">
        <v>268</v>
      </c>
      <c r="D112" s="83"/>
      <c r="E112" s="84"/>
      <c r="F112" s="85"/>
      <c r="G112" s="85"/>
    </row>
    <row r="113" ht="51" spans="1:7">
      <c r="A113" s="86" t="s">
        <v>242</v>
      </c>
      <c r="B113" s="80">
        <v>90825</v>
      </c>
      <c r="C113" s="87" t="s">
        <v>294</v>
      </c>
      <c r="D113" s="97" t="s">
        <v>239</v>
      </c>
      <c r="E113" s="88">
        <v>1</v>
      </c>
      <c r="F113" s="89">
        <v>542.2</v>
      </c>
      <c r="G113" s="90">
        <f t="shared" ref="G113:G120" si="3">ROUND(E113*F113,2)</f>
        <v>542.2</v>
      </c>
    </row>
    <row r="114" ht="63.75" spans="1:7">
      <c r="A114" s="86" t="s">
        <v>242</v>
      </c>
      <c r="B114" s="80">
        <v>90830</v>
      </c>
      <c r="C114" s="87" t="s">
        <v>295</v>
      </c>
      <c r="D114" s="97" t="s">
        <v>239</v>
      </c>
      <c r="E114" s="88">
        <v>1</v>
      </c>
      <c r="F114" s="89">
        <v>179.77</v>
      </c>
      <c r="G114" s="90">
        <f t="shared" si="3"/>
        <v>179.77</v>
      </c>
    </row>
    <row r="115" spans="1:7">
      <c r="A115" s="92"/>
      <c r="B115" s="92"/>
      <c r="C115" s="93" t="s">
        <v>271</v>
      </c>
      <c r="D115" s="78"/>
      <c r="E115" s="94"/>
      <c r="F115" s="95"/>
      <c r="G115" s="96">
        <f>TRUNC(SUM(G113:G114),2)</f>
        <v>721.97</v>
      </c>
    </row>
    <row r="116" spans="1:7">
      <c r="A116" s="81"/>
      <c r="B116" s="81"/>
      <c r="C116" s="82" t="s">
        <v>241</v>
      </c>
      <c r="D116" s="83"/>
      <c r="E116" s="84"/>
      <c r="F116" s="85"/>
      <c r="G116" s="85"/>
    </row>
    <row r="117" ht="25.5" spans="1:7">
      <c r="A117" s="86" t="s">
        <v>242</v>
      </c>
      <c r="B117" s="80">
        <v>88309</v>
      </c>
      <c r="C117" s="87" t="s">
        <v>261</v>
      </c>
      <c r="D117" s="97" t="s">
        <v>59</v>
      </c>
      <c r="E117" s="88">
        <v>0.84</v>
      </c>
      <c r="F117" s="89">
        <v>22.71</v>
      </c>
      <c r="G117" s="98">
        <f t="shared" si="3"/>
        <v>19.08</v>
      </c>
    </row>
    <row r="118" ht="25.5" spans="1:7">
      <c r="A118" s="86" t="s">
        <v>242</v>
      </c>
      <c r="B118" s="80">
        <v>88261</v>
      </c>
      <c r="C118" s="87" t="s">
        <v>296</v>
      </c>
      <c r="D118" s="97" t="s">
        <v>59</v>
      </c>
      <c r="E118" s="88">
        <v>2.25</v>
      </c>
      <c r="F118" s="89">
        <v>21.63</v>
      </c>
      <c r="G118" s="98">
        <f t="shared" si="3"/>
        <v>48.67</v>
      </c>
    </row>
    <row r="119" ht="25.5" spans="1:7">
      <c r="A119" s="86" t="s">
        <v>242</v>
      </c>
      <c r="B119" s="80">
        <v>88241</v>
      </c>
      <c r="C119" s="87" t="s">
        <v>286</v>
      </c>
      <c r="D119" s="97" t="s">
        <v>59</v>
      </c>
      <c r="E119" s="88">
        <v>2.25</v>
      </c>
      <c r="F119" s="89">
        <v>20.54</v>
      </c>
      <c r="G119" s="98">
        <f t="shared" si="3"/>
        <v>46.22</v>
      </c>
    </row>
    <row r="120" ht="25.5" spans="1:7">
      <c r="A120" s="86" t="s">
        <v>242</v>
      </c>
      <c r="B120" s="80">
        <v>88316</v>
      </c>
      <c r="C120" s="87" t="s">
        <v>243</v>
      </c>
      <c r="D120" s="97" t="s">
        <v>59</v>
      </c>
      <c r="E120" s="88">
        <v>0.84</v>
      </c>
      <c r="F120" s="89">
        <v>18.42</v>
      </c>
      <c r="G120" s="98">
        <f t="shared" si="3"/>
        <v>15.47</v>
      </c>
    </row>
    <row r="121" spans="1:7">
      <c r="A121" s="92"/>
      <c r="B121" s="92"/>
      <c r="C121" s="93" t="s">
        <v>244</v>
      </c>
      <c r="D121" s="78"/>
      <c r="E121" s="94"/>
      <c r="F121" s="95"/>
      <c r="G121" s="96">
        <f>TRUNC(SUM(G117:G120),2)</f>
        <v>129.44</v>
      </c>
    </row>
    <row r="122" spans="1:7">
      <c r="A122" s="81" t="s">
        <v>245</v>
      </c>
      <c r="B122" s="81"/>
      <c r="C122" s="81"/>
      <c r="D122" s="81"/>
      <c r="E122" s="81"/>
      <c r="F122" s="81"/>
      <c r="G122" s="81"/>
    </row>
    <row r="123" spans="1:7">
      <c r="A123" s="99"/>
      <c r="B123" s="99"/>
      <c r="C123" s="99"/>
      <c r="D123" s="99"/>
      <c r="E123" s="99"/>
      <c r="F123" s="99"/>
      <c r="G123" s="99"/>
    </row>
    <row r="124" spans="1:7">
      <c r="A124" s="100" t="s">
        <v>246</v>
      </c>
      <c r="B124" s="100"/>
      <c r="C124" s="100"/>
      <c r="D124" s="101" t="s">
        <v>247</v>
      </c>
      <c r="E124" s="101"/>
      <c r="F124" s="101"/>
      <c r="G124" s="102">
        <f>TRUNC(SUM(G111,G121,G115),2)</f>
        <v>855.13</v>
      </c>
    </row>
    <row r="125" spans="1:7">
      <c r="A125" s="100"/>
      <c r="B125" s="100"/>
      <c r="C125" s="100"/>
      <c r="D125" s="101" t="s">
        <v>248</v>
      </c>
      <c r="E125" s="101"/>
      <c r="F125" s="101"/>
      <c r="G125" s="102">
        <f>G124*1.2882</f>
        <v>1101.578466</v>
      </c>
    </row>
    <row r="126" ht="17" customHeight="1" spans="1:7">
      <c r="A126" s="133" t="s">
        <v>297</v>
      </c>
      <c r="B126" s="134"/>
      <c r="C126" s="134"/>
      <c r="D126" s="134"/>
      <c r="E126" s="134"/>
      <c r="F126" s="134"/>
      <c r="G126" s="135"/>
    </row>
    <row r="127" ht="35" customHeight="1" spans="1:7">
      <c r="A127" s="111" t="s">
        <v>298</v>
      </c>
      <c r="B127" s="112"/>
      <c r="C127" s="112"/>
      <c r="D127" s="112"/>
      <c r="E127" s="112"/>
      <c r="F127" s="112"/>
      <c r="G127" s="113"/>
    </row>
    <row r="128" ht="23" customHeight="1" spans="1:7">
      <c r="A128" s="67"/>
      <c r="B128" s="67"/>
      <c r="C128" s="67"/>
      <c r="D128" s="67"/>
      <c r="E128" s="68"/>
      <c r="F128" s="69" t="s">
        <v>299</v>
      </c>
      <c r="G128" s="70"/>
    </row>
    <row r="129" ht="15" customHeight="1" spans="1:7">
      <c r="A129" s="71"/>
      <c r="B129" s="71"/>
      <c r="C129" s="71"/>
      <c r="D129" s="71"/>
      <c r="E129" s="72" t="s">
        <v>226</v>
      </c>
      <c r="F129" s="72"/>
      <c r="G129" s="73">
        <v>44986</v>
      </c>
    </row>
    <row r="130" ht="15" customHeight="1" spans="1:7">
      <c r="A130" s="74" t="s">
        <v>227</v>
      </c>
      <c r="B130" s="74" t="s">
        <v>10</v>
      </c>
      <c r="C130" s="74" t="s">
        <v>40</v>
      </c>
      <c r="D130" s="74" t="s">
        <v>228</v>
      </c>
      <c r="E130" s="75" t="s">
        <v>229</v>
      </c>
      <c r="F130" s="76" t="s">
        <v>230</v>
      </c>
      <c r="G130" s="77"/>
    </row>
    <row r="131" ht="15" customHeight="1" spans="1:7">
      <c r="A131" s="78"/>
      <c r="B131" s="78"/>
      <c r="C131" s="78"/>
      <c r="D131" s="78"/>
      <c r="E131" s="79"/>
      <c r="F131" s="80" t="s">
        <v>231</v>
      </c>
      <c r="G131" s="80" t="s">
        <v>27</v>
      </c>
    </row>
    <row r="132" ht="16" customHeight="1" spans="1:7">
      <c r="A132" s="81"/>
      <c r="B132" s="81"/>
      <c r="C132" s="82" t="s">
        <v>232</v>
      </c>
      <c r="D132" s="83"/>
      <c r="E132" s="84"/>
      <c r="F132" s="85"/>
      <c r="G132" s="85"/>
    </row>
    <row r="133" ht="25.5" spans="1:7">
      <c r="A133" s="86" t="s">
        <v>233</v>
      </c>
      <c r="B133" s="80">
        <v>7258</v>
      </c>
      <c r="C133" s="87" t="s">
        <v>300</v>
      </c>
      <c r="D133" s="80" t="s">
        <v>228</v>
      </c>
      <c r="E133" s="88">
        <v>722</v>
      </c>
      <c r="F133" s="89">
        <v>0.43</v>
      </c>
      <c r="G133" s="90">
        <f t="shared" ref="G133:G134" si="4">ROUND(E133*F133,2)</f>
        <v>310.46</v>
      </c>
    </row>
    <row r="134" ht="63.75" spans="1:7">
      <c r="A134" s="86" t="s">
        <v>242</v>
      </c>
      <c r="B134" s="80">
        <v>87292</v>
      </c>
      <c r="C134" s="136" t="s">
        <v>301</v>
      </c>
      <c r="D134" s="80" t="s">
        <v>84</v>
      </c>
      <c r="E134" s="108">
        <f>0.028*10</f>
        <v>0.28</v>
      </c>
      <c r="F134" s="89">
        <v>645.93</v>
      </c>
      <c r="G134" s="90">
        <f t="shared" si="4"/>
        <v>180.86</v>
      </c>
    </row>
    <row r="135" spans="1:7">
      <c r="A135" s="92"/>
      <c r="B135" s="92"/>
      <c r="C135" s="93" t="s">
        <v>240</v>
      </c>
      <c r="D135" s="78"/>
      <c r="E135" s="94"/>
      <c r="F135" s="95"/>
      <c r="G135" s="96">
        <f>TRUNC(SUM(G133:G134),2)</f>
        <v>491.32</v>
      </c>
    </row>
    <row r="136" spans="1:7">
      <c r="A136" s="81"/>
      <c r="B136" s="81"/>
      <c r="C136" s="82" t="s">
        <v>241</v>
      </c>
      <c r="D136" s="83"/>
      <c r="E136" s="84"/>
      <c r="F136" s="85"/>
      <c r="G136" s="85"/>
    </row>
    <row r="137" ht="25.5" spans="1:7">
      <c r="A137" s="86" t="s">
        <v>242</v>
      </c>
      <c r="B137" s="80" t="s">
        <v>302</v>
      </c>
      <c r="C137" s="87" t="s">
        <v>261</v>
      </c>
      <c r="D137" s="97" t="s">
        <v>59</v>
      </c>
      <c r="E137" s="108">
        <v>6</v>
      </c>
      <c r="F137" s="89">
        <v>22.71</v>
      </c>
      <c r="G137" s="90">
        <f t="shared" ref="G137:G138" si="5">ROUND(E137*F137,2)</f>
        <v>136.26</v>
      </c>
    </row>
    <row r="138" ht="25.5" spans="1:7">
      <c r="A138" s="86" t="s">
        <v>242</v>
      </c>
      <c r="B138" s="80" t="s">
        <v>272</v>
      </c>
      <c r="C138" s="87" t="s">
        <v>243</v>
      </c>
      <c r="D138" s="97" t="s">
        <v>59</v>
      </c>
      <c r="E138" s="88">
        <v>6</v>
      </c>
      <c r="F138" s="89">
        <v>18.42</v>
      </c>
      <c r="G138" s="90">
        <f t="shared" si="5"/>
        <v>110.52</v>
      </c>
    </row>
    <row r="139" spans="1:7">
      <c r="A139" s="92"/>
      <c r="B139" s="92"/>
      <c r="C139" s="93" t="s">
        <v>244</v>
      </c>
      <c r="D139" s="78"/>
      <c r="E139" s="94"/>
      <c r="F139" s="95"/>
      <c r="G139" s="96">
        <f>TRUNC(SUM(G137:G138),2)</f>
        <v>246.78</v>
      </c>
    </row>
    <row r="140" spans="1:7">
      <c r="A140" s="81" t="s">
        <v>245</v>
      </c>
      <c r="B140" s="81"/>
      <c r="C140" s="81"/>
      <c r="D140" s="81"/>
      <c r="E140" s="81"/>
      <c r="F140" s="81"/>
      <c r="G140" s="81"/>
    </row>
    <row r="141" spans="1:7">
      <c r="A141" s="99"/>
      <c r="B141" s="99"/>
      <c r="C141" s="99"/>
      <c r="D141" s="99"/>
      <c r="E141" s="99"/>
      <c r="F141" s="99"/>
      <c r="G141" s="99"/>
    </row>
    <row r="142" spans="1:7">
      <c r="A142" s="100" t="s">
        <v>246</v>
      </c>
      <c r="B142" s="100"/>
      <c r="C142" s="100"/>
      <c r="D142" s="101" t="s">
        <v>247</v>
      </c>
      <c r="E142" s="101"/>
      <c r="F142" s="101"/>
      <c r="G142" s="102">
        <f>TRUNC(SUM(G135,G139),2)</f>
        <v>738.1</v>
      </c>
    </row>
    <row r="143" spans="1:7">
      <c r="A143" s="100"/>
      <c r="B143" s="100"/>
      <c r="C143" s="100"/>
      <c r="D143" s="101" t="s">
        <v>248</v>
      </c>
      <c r="E143" s="101"/>
      <c r="F143" s="101"/>
      <c r="G143" s="102">
        <f>G142*1.2882</f>
        <v>950.82042</v>
      </c>
    </row>
    <row r="144" spans="1:7">
      <c r="A144" s="133" t="s">
        <v>303</v>
      </c>
      <c r="B144" s="134"/>
      <c r="C144" s="134"/>
      <c r="D144" s="134"/>
      <c r="E144" s="134"/>
      <c r="F144" s="134"/>
      <c r="G144" s="135"/>
    </row>
    <row r="145" ht="36" customHeight="1" spans="1:7">
      <c r="A145" s="111" t="s">
        <v>304</v>
      </c>
      <c r="B145" s="112"/>
      <c r="C145" s="112"/>
      <c r="D145" s="112"/>
      <c r="E145" s="112"/>
      <c r="F145" s="112"/>
      <c r="G145" s="113"/>
    </row>
    <row r="146" ht="21" customHeight="1" spans="1:7">
      <c r="A146" s="67"/>
      <c r="B146" s="67"/>
      <c r="C146" s="67"/>
      <c r="D146" s="67"/>
      <c r="E146" s="68"/>
      <c r="F146" s="69" t="s">
        <v>305</v>
      </c>
      <c r="G146" s="70"/>
    </row>
    <row r="147" ht="17" customHeight="1" spans="1:7">
      <c r="A147" s="71"/>
      <c r="B147" s="71"/>
      <c r="C147" s="71"/>
      <c r="D147" s="71"/>
      <c r="E147" s="72" t="s">
        <v>226</v>
      </c>
      <c r="F147" s="72"/>
      <c r="G147" s="73">
        <v>44986</v>
      </c>
    </row>
    <row r="148" spans="1:7">
      <c r="A148" s="74" t="s">
        <v>227</v>
      </c>
      <c r="B148" s="74" t="s">
        <v>10</v>
      </c>
      <c r="C148" s="74" t="s">
        <v>40</v>
      </c>
      <c r="D148" s="74" t="s">
        <v>228</v>
      </c>
      <c r="E148" s="75" t="s">
        <v>229</v>
      </c>
      <c r="F148" s="76" t="s">
        <v>230</v>
      </c>
      <c r="G148" s="77"/>
    </row>
    <row r="149" spans="1:7">
      <c r="A149" s="78"/>
      <c r="B149" s="78"/>
      <c r="C149" s="78"/>
      <c r="D149" s="78" t="s">
        <v>66</v>
      </c>
      <c r="E149" s="79"/>
      <c r="F149" s="80" t="s">
        <v>231</v>
      </c>
      <c r="G149" s="80" t="s">
        <v>27</v>
      </c>
    </row>
    <row r="150" spans="1:7">
      <c r="A150" s="137"/>
      <c r="B150" s="137"/>
      <c r="C150" s="137" t="s">
        <v>306</v>
      </c>
      <c r="D150" s="137"/>
      <c r="E150" s="138"/>
      <c r="F150" s="139"/>
      <c r="G150" s="139"/>
    </row>
    <row r="151" spans="1:7">
      <c r="A151" s="81"/>
      <c r="B151" s="81"/>
      <c r="C151" s="82" t="s">
        <v>232</v>
      </c>
      <c r="D151" s="83"/>
      <c r="E151" s="84"/>
      <c r="F151" s="85"/>
      <c r="G151" s="85"/>
    </row>
    <row r="152" ht="25.5" spans="1:7">
      <c r="A152" s="86" t="s">
        <v>233</v>
      </c>
      <c r="B152" s="80">
        <v>7258</v>
      </c>
      <c r="C152" s="87" t="s">
        <v>300</v>
      </c>
      <c r="D152" s="80" t="s">
        <v>228</v>
      </c>
      <c r="E152" s="88">
        <v>73.49</v>
      </c>
      <c r="F152" s="89">
        <v>0.43</v>
      </c>
      <c r="G152" s="90">
        <f>ROUND(E152*F152,2)</f>
        <v>31.6</v>
      </c>
    </row>
    <row r="153" ht="63.75" spans="1:7">
      <c r="A153" s="86" t="s">
        <v>242</v>
      </c>
      <c r="B153" s="80">
        <v>87292</v>
      </c>
      <c r="C153" s="136" t="s">
        <v>301</v>
      </c>
      <c r="D153" s="80" t="s">
        <v>84</v>
      </c>
      <c r="E153" s="108">
        <v>0.028</v>
      </c>
      <c r="F153" s="89">
        <v>645.93</v>
      </c>
      <c r="G153" s="90">
        <f>ROUND(E153*F153,2)</f>
        <v>18.09</v>
      </c>
    </row>
    <row r="154" spans="1:7">
      <c r="A154" s="92"/>
      <c r="B154" s="92"/>
      <c r="C154" s="93" t="s">
        <v>240</v>
      </c>
      <c r="D154" s="78"/>
      <c r="E154" s="94"/>
      <c r="F154" s="95"/>
      <c r="G154" s="96">
        <f>TRUNC(SUM(G152:G153),2)</f>
        <v>49.69</v>
      </c>
    </row>
    <row r="155" spans="1:7">
      <c r="A155" s="81"/>
      <c r="B155" s="81"/>
      <c r="C155" s="82" t="s">
        <v>241</v>
      </c>
      <c r="D155" s="83"/>
      <c r="E155" s="84"/>
      <c r="F155" s="85"/>
      <c r="G155" s="85"/>
    </row>
    <row r="156" ht="25.5" spans="1:7">
      <c r="A156" s="86" t="s">
        <v>242</v>
      </c>
      <c r="B156" s="80" t="s">
        <v>302</v>
      </c>
      <c r="C156" s="87" t="s">
        <v>261</v>
      </c>
      <c r="D156" s="97" t="s">
        <v>59</v>
      </c>
      <c r="E156" s="108">
        <v>1.939</v>
      </c>
      <c r="F156" s="89">
        <v>22.71</v>
      </c>
      <c r="G156" s="90">
        <f>ROUND(E156*F156,2)</f>
        <v>44.03</v>
      </c>
    </row>
    <row r="157" ht="25.5" spans="1:7">
      <c r="A157" s="86" t="s">
        <v>242</v>
      </c>
      <c r="B157" s="80" t="s">
        <v>272</v>
      </c>
      <c r="C157" s="87" t="s">
        <v>243</v>
      </c>
      <c r="D157" s="97" t="s">
        <v>59</v>
      </c>
      <c r="E157" s="88">
        <v>0.97</v>
      </c>
      <c r="F157" s="89">
        <v>18.42</v>
      </c>
      <c r="G157" s="90">
        <f>ROUND(E157*F157,2)</f>
        <v>17.87</v>
      </c>
    </row>
    <row r="158" spans="1:7">
      <c r="A158" s="92"/>
      <c r="B158" s="92"/>
      <c r="C158" s="93" t="s">
        <v>244</v>
      </c>
      <c r="D158" s="78"/>
      <c r="E158" s="94"/>
      <c r="F158" s="95"/>
      <c r="G158" s="96">
        <f>TRUNC(SUM(G156:G157),2)</f>
        <v>61.9</v>
      </c>
    </row>
    <row r="159" spans="1:7">
      <c r="A159" s="140"/>
      <c r="B159" s="140"/>
      <c r="C159" s="137" t="s">
        <v>307</v>
      </c>
      <c r="D159" s="137"/>
      <c r="E159" s="141"/>
      <c r="F159" s="142"/>
      <c r="G159" s="143"/>
    </row>
    <row r="160" spans="1:7">
      <c r="A160" s="81"/>
      <c r="B160" s="81"/>
      <c r="C160" s="82" t="s">
        <v>232</v>
      </c>
      <c r="D160" s="83"/>
      <c r="E160" s="84"/>
      <c r="F160" s="85"/>
      <c r="G160" s="85"/>
    </row>
    <row r="161" ht="51" spans="1:7">
      <c r="A161" s="86" t="s">
        <v>242</v>
      </c>
      <c r="B161" s="80">
        <v>87313</v>
      </c>
      <c r="C161" s="87" t="s">
        <v>308</v>
      </c>
      <c r="D161" s="80" t="s">
        <v>84</v>
      </c>
      <c r="E161" s="110">
        <v>0.0042</v>
      </c>
      <c r="F161" s="89">
        <v>533.51</v>
      </c>
      <c r="G161" s="90">
        <f t="shared" ref="G161" si="6">ROUND(E161*F161,2)</f>
        <v>2.24</v>
      </c>
    </row>
    <row r="162" spans="1:7">
      <c r="A162" s="86"/>
      <c r="B162" s="80"/>
      <c r="C162" s="93" t="s">
        <v>240</v>
      </c>
      <c r="D162" s="78"/>
      <c r="E162" s="94"/>
      <c r="F162" s="95"/>
      <c r="G162" s="96">
        <f>TRUNC(SUM(G161),2)</f>
        <v>2.24</v>
      </c>
    </row>
    <row r="163" spans="1:7">
      <c r="A163" s="81"/>
      <c r="B163" s="81"/>
      <c r="C163" s="82" t="s">
        <v>241</v>
      </c>
      <c r="D163" s="83"/>
      <c r="E163" s="84"/>
      <c r="F163" s="85"/>
      <c r="G163" s="85"/>
    </row>
    <row r="164" ht="25.5" spans="1:7">
      <c r="A164" s="86" t="s">
        <v>242</v>
      </c>
      <c r="B164" s="80" t="s">
        <v>302</v>
      </c>
      <c r="C164" s="87" t="s">
        <v>261</v>
      </c>
      <c r="D164" s="97" t="s">
        <v>59</v>
      </c>
      <c r="E164" s="108">
        <v>0.124</v>
      </c>
      <c r="F164" s="89">
        <v>22.71</v>
      </c>
      <c r="G164" s="90">
        <f t="shared" ref="G164:G165" si="7">ROUND(E164*F164,2)</f>
        <v>2.82</v>
      </c>
    </row>
    <row r="165" ht="25.5" spans="1:7">
      <c r="A165" s="86" t="s">
        <v>242</v>
      </c>
      <c r="B165" s="80" t="s">
        <v>272</v>
      </c>
      <c r="C165" s="87" t="s">
        <v>243</v>
      </c>
      <c r="D165" s="97" t="s">
        <v>59</v>
      </c>
      <c r="E165" s="108">
        <v>0.062</v>
      </c>
      <c r="F165" s="89">
        <v>18.42</v>
      </c>
      <c r="G165" s="90">
        <f t="shared" si="7"/>
        <v>1.14</v>
      </c>
    </row>
    <row r="166" spans="1:7">
      <c r="A166" s="92"/>
      <c r="B166" s="92"/>
      <c r="C166" s="93" t="s">
        <v>244</v>
      </c>
      <c r="D166" s="78"/>
      <c r="E166" s="94"/>
      <c r="F166" s="95"/>
      <c r="G166" s="96">
        <f>TRUNC(SUM(G164:G165),2)</f>
        <v>3.96</v>
      </c>
    </row>
    <row r="167" spans="1:7">
      <c r="A167" s="140"/>
      <c r="B167" s="140"/>
      <c r="C167" s="137" t="s">
        <v>309</v>
      </c>
      <c r="D167" s="137"/>
      <c r="E167" s="141"/>
      <c r="F167" s="142"/>
      <c r="G167" s="143"/>
    </row>
    <row r="168" spans="1:7">
      <c r="A168" s="81"/>
      <c r="B168" s="81"/>
      <c r="C168" s="82" t="s">
        <v>232</v>
      </c>
      <c r="D168" s="83"/>
      <c r="E168" s="84"/>
      <c r="F168" s="85"/>
      <c r="G168" s="85"/>
    </row>
    <row r="169" ht="63.75" spans="1:7">
      <c r="A169" s="86" t="s">
        <v>242</v>
      </c>
      <c r="B169" s="80">
        <v>87313</v>
      </c>
      <c r="C169" s="87" t="s">
        <v>301</v>
      </c>
      <c r="D169" s="80" t="s">
        <v>84</v>
      </c>
      <c r="E169" s="110">
        <v>0.0376</v>
      </c>
      <c r="F169" s="89">
        <v>533.51</v>
      </c>
      <c r="G169" s="90">
        <f t="shared" ref="G169" si="8">ROUND(E169*F169,2)</f>
        <v>20.06</v>
      </c>
    </row>
    <row r="170" spans="1:7">
      <c r="A170" s="86"/>
      <c r="B170" s="80"/>
      <c r="C170" s="93" t="s">
        <v>240</v>
      </c>
      <c r="D170" s="78"/>
      <c r="E170" s="94"/>
      <c r="F170" s="95"/>
      <c r="G170" s="96">
        <f>TRUNC(SUM(G169),2)</f>
        <v>20.06</v>
      </c>
    </row>
    <row r="171" spans="1:7">
      <c r="A171" s="81"/>
      <c r="B171" s="81"/>
      <c r="C171" s="82" t="s">
        <v>241</v>
      </c>
      <c r="D171" s="83"/>
      <c r="E171" s="84"/>
      <c r="F171" s="85"/>
      <c r="G171" s="85"/>
    </row>
    <row r="172" ht="25.5" spans="1:7">
      <c r="A172" s="86" t="s">
        <v>242</v>
      </c>
      <c r="B172" s="80" t="s">
        <v>302</v>
      </c>
      <c r="C172" s="87" t="s">
        <v>261</v>
      </c>
      <c r="D172" s="97" t="s">
        <v>59</v>
      </c>
      <c r="E172" s="108">
        <v>0.58</v>
      </c>
      <c r="F172" s="89">
        <v>22.71</v>
      </c>
      <c r="G172" s="90">
        <f t="shared" ref="G172:G173" si="9">ROUND(E172*F172,2)</f>
        <v>13.17</v>
      </c>
    </row>
    <row r="173" ht="25.5" spans="1:7">
      <c r="A173" s="86" t="s">
        <v>242</v>
      </c>
      <c r="B173" s="80" t="s">
        <v>272</v>
      </c>
      <c r="C173" s="87" t="s">
        <v>243</v>
      </c>
      <c r="D173" s="97" t="s">
        <v>59</v>
      </c>
      <c r="E173" s="108">
        <v>0.211</v>
      </c>
      <c r="F173" s="89">
        <v>18.42</v>
      </c>
      <c r="G173" s="90">
        <f t="shared" si="9"/>
        <v>3.89</v>
      </c>
    </row>
    <row r="174" spans="1:7">
      <c r="A174" s="92"/>
      <c r="B174" s="92"/>
      <c r="C174" s="93" t="s">
        <v>244</v>
      </c>
      <c r="D174" s="78"/>
      <c r="E174" s="94"/>
      <c r="F174" s="95"/>
      <c r="G174" s="96">
        <f>TRUNC(SUM(G172:G173),2)</f>
        <v>17.06</v>
      </c>
    </row>
    <row r="175" spans="1:7">
      <c r="A175" s="81" t="s">
        <v>245</v>
      </c>
      <c r="B175" s="81"/>
      <c r="C175" s="81"/>
      <c r="D175" s="81"/>
      <c r="E175" s="81"/>
      <c r="F175" s="81"/>
      <c r="G175" s="81"/>
    </row>
    <row r="176" spans="1:7">
      <c r="A176" s="99"/>
      <c r="B176" s="99"/>
      <c r="C176" s="99"/>
      <c r="D176" s="99"/>
      <c r="E176" s="99"/>
      <c r="F176" s="99"/>
      <c r="G176" s="99"/>
    </row>
    <row r="177" spans="1:7">
      <c r="A177" s="100" t="s">
        <v>246</v>
      </c>
      <c r="B177" s="100"/>
      <c r="C177" s="100"/>
      <c r="D177" s="101" t="s">
        <v>247</v>
      </c>
      <c r="E177" s="101"/>
      <c r="F177" s="101"/>
      <c r="G177" s="102">
        <f>TRUNC(SUM(G154,G158,G162,G166,G170,G174),2)</f>
        <v>154.91</v>
      </c>
    </row>
    <row r="178" spans="1:7">
      <c r="A178" s="100"/>
      <c r="B178" s="100"/>
      <c r="C178" s="100"/>
      <c r="D178" s="101" t="s">
        <v>248</v>
      </c>
      <c r="E178" s="101"/>
      <c r="F178" s="101"/>
      <c r="G178" s="102">
        <f>G177*1.2882</f>
        <v>199.555062</v>
      </c>
    </row>
    <row r="179" ht="15" customHeight="1" spans="1:7">
      <c r="A179" s="133" t="s">
        <v>310</v>
      </c>
      <c r="B179" s="134"/>
      <c r="C179" s="134"/>
      <c r="D179" s="134"/>
      <c r="E179" s="134"/>
      <c r="F179" s="134"/>
      <c r="G179" s="135"/>
    </row>
    <row r="180" ht="38" customHeight="1" spans="1:7">
      <c r="A180" s="111" t="s">
        <v>311</v>
      </c>
      <c r="B180" s="112"/>
      <c r="C180" s="112"/>
      <c r="D180" s="112"/>
      <c r="E180" s="112"/>
      <c r="F180" s="112"/>
      <c r="G180" s="113"/>
    </row>
    <row r="181" ht="23" customHeight="1" spans="1:7">
      <c r="A181" s="67"/>
      <c r="B181" s="67"/>
      <c r="C181" s="67"/>
      <c r="D181" s="67"/>
      <c r="E181" s="68"/>
      <c r="F181" s="69" t="s">
        <v>312</v>
      </c>
      <c r="G181" s="70"/>
    </row>
    <row r="182" ht="15" customHeight="1" spans="1:7">
      <c r="A182" s="71"/>
      <c r="B182" s="71"/>
      <c r="C182" s="71"/>
      <c r="D182" s="71"/>
      <c r="E182" s="72" t="s">
        <v>226</v>
      </c>
      <c r="F182" s="72"/>
      <c r="G182" s="73">
        <v>44986</v>
      </c>
    </row>
    <row r="183" ht="13" customHeight="1" spans="1:7">
      <c r="A183" s="74" t="s">
        <v>227</v>
      </c>
      <c r="B183" s="74" t="s">
        <v>10</v>
      </c>
      <c r="C183" s="74" t="s">
        <v>40</v>
      </c>
      <c r="D183" s="74" t="s">
        <v>228</v>
      </c>
      <c r="E183" s="75" t="s">
        <v>229</v>
      </c>
      <c r="F183" s="76" t="s">
        <v>230</v>
      </c>
      <c r="G183" s="77"/>
    </row>
    <row r="184" spans="1:7">
      <c r="A184" s="78"/>
      <c r="B184" s="78"/>
      <c r="C184" s="78"/>
      <c r="D184" s="78"/>
      <c r="E184" s="79"/>
      <c r="F184" s="80" t="s">
        <v>231</v>
      </c>
      <c r="G184" s="80" t="s">
        <v>27</v>
      </c>
    </row>
    <row r="185" spans="1:7">
      <c r="A185" s="81"/>
      <c r="B185" s="81"/>
      <c r="C185" s="82" t="s">
        <v>232</v>
      </c>
      <c r="D185" s="83"/>
      <c r="E185" s="84"/>
      <c r="F185" s="85"/>
      <c r="G185" s="85"/>
    </row>
    <row r="186" ht="25.5" spans="1:7">
      <c r="A186" s="86" t="s">
        <v>233</v>
      </c>
      <c r="B186" s="80">
        <v>35693</v>
      </c>
      <c r="C186" s="87" t="s">
        <v>313</v>
      </c>
      <c r="D186" s="80" t="s">
        <v>236</v>
      </c>
      <c r="E186" s="88">
        <v>0.22</v>
      </c>
      <c r="F186" s="89">
        <v>11.09</v>
      </c>
      <c r="G186" s="90">
        <f t="shared" ref="G186:G189" si="10">ROUND(E186*F186,2)</f>
        <v>2.44</v>
      </c>
    </row>
    <row r="187" ht="25.5" spans="1:7">
      <c r="A187" s="86" t="s">
        <v>233</v>
      </c>
      <c r="B187" s="80">
        <v>43651</v>
      </c>
      <c r="C187" s="87" t="s">
        <v>314</v>
      </c>
      <c r="D187" s="80" t="s">
        <v>278</v>
      </c>
      <c r="E187" s="88">
        <v>0.9</v>
      </c>
      <c r="F187" s="89">
        <v>4.24</v>
      </c>
      <c r="G187" s="90">
        <f t="shared" si="10"/>
        <v>3.82</v>
      </c>
    </row>
    <row r="188" ht="25.5" spans="1:7">
      <c r="A188" s="86" t="s">
        <v>233</v>
      </c>
      <c r="B188" s="80">
        <v>6085</v>
      </c>
      <c r="C188" s="87" t="s">
        <v>315</v>
      </c>
      <c r="D188" s="80" t="s">
        <v>236</v>
      </c>
      <c r="E188" s="88">
        <v>0.14</v>
      </c>
      <c r="F188" s="89">
        <v>9.29</v>
      </c>
      <c r="G188" s="90">
        <f t="shared" si="10"/>
        <v>1.3</v>
      </c>
    </row>
    <row r="189" ht="25.5" spans="1:7">
      <c r="A189" s="86" t="s">
        <v>233</v>
      </c>
      <c r="B189" s="80">
        <v>3767</v>
      </c>
      <c r="C189" s="87" t="s">
        <v>316</v>
      </c>
      <c r="D189" s="80" t="s">
        <v>239</v>
      </c>
      <c r="E189" s="88">
        <v>0.65</v>
      </c>
      <c r="F189" s="89">
        <v>0.79</v>
      </c>
      <c r="G189" s="90">
        <f t="shared" si="10"/>
        <v>0.51</v>
      </c>
    </row>
    <row r="190" spans="1:7">
      <c r="A190" s="92"/>
      <c r="B190" s="92"/>
      <c r="C190" s="93" t="s">
        <v>240</v>
      </c>
      <c r="D190" s="78"/>
      <c r="E190" s="94"/>
      <c r="F190" s="95"/>
      <c r="G190" s="96">
        <f>TRUNC(SUM(G186:G189),2)</f>
        <v>8.07</v>
      </c>
    </row>
    <row r="191" spans="1:7">
      <c r="A191" s="81"/>
      <c r="B191" s="81"/>
      <c r="C191" s="82" t="s">
        <v>241</v>
      </c>
      <c r="D191" s="83"/>
      <c r="E191" s="84"/>
      <c r="F191" s="85"/>
      <c r="G191" s="85"/>
    </row>
    <row r="192" ht="25.5" spans="1:7">
      <c r="A192" s="86" t="s">
        <v>242</v>
      </c>
      <c r="B192" s="80">
        <v>88310</v>
      </c>
      <c r="C192" s="87" t="s">
        <v>317</v>
      </c>
      <c r="D192" s="97" t="s">
        <v>59</v>
      </c>
      <c r="E192" s="88">
        <v>0.75</v>
      </c>
      <c r="F192" s="89">
        <v>23.95</v>
      </c>
      <c r="G192" s="90">
        <f>ROUND(E192*F192,2)</f>
        <v>17.96</v>
      </c>
    </row>
    <row r="193" ht="25.5" spans="1:7">
      <c r="A193" s="86" t="s">
        <v>242</v>
      </c>
      <c r="B193" s="80">
        <v>100301</v>
      </c>
      <c r="C193" s="87" t="s">
        <v>318</v>
      </c>
      <c r="D193" s="97" t="s">
        <v>59</v>
      </c>
      <c r="E193" s="88">
        <v>0.6</v>
      </c>
      <c r="F193" s="89">
        <v>19.81</v>
      </c>
      <c r="G193" s="90">
        <f>ROUND(E193*F193,2)</f>
        <v>11.89</v>
      </c>
    </row>
    <row r="194" spans="1:7">
      <c r="A194" s="92"/>
      <c r="B194" s="92"/>
      <c r="C194" s="93" t="s">
        <v>244</v>
      </c>
      <c r="D194" s="78"/>
      <c r="E194" s="94"/>
      <c r="F194" s="95"/>
      <c r="G194" s="96">
        <f>TRUNC(SUM(G192:G193),2)</f>
        <v>29.85</v>
      </c>
    </row>
    <row r="195" spans="1:7">
      <c r="A195" s="81" t="s">
        <v>245</v>
      </c>
      <c r="B195" s="81"/>
      <c r="C195" s="81"/>
      <c r="D195" s="81"/>
      <c r="E195" s="81"/>
      <c r="F195" s="81"/>
      <c r="G195" s="81"/>
    </row>
    <row r="196" spans="1:7">
      <c r="A196" s="99"/>
      <c r="B196" s="99"/>
      <c r="C196" s="99"/>
      <c r="D196" s="99"/>
      <c r="E196" s="99"/>
      <c r="F196" s="99"/>
      <c r="G196" s="99"/>
    </row>
    <row r="197" spans="1:7">
      <c r="A197" s="100" t="s">
        <v>246</v>
      </c>
      <c r="B197" s="100"/>
      <c r="C197" s="100"/>
      <c r="D197" s="101" t="s">
        <v>247</v>
      </c>
      <c r="E197" s="101"/>
      <c r="F197" s="101"/>
      <c r="G197" s="102">
        <f>TRUNC(SUM(G190,G194),2)</f>
        <v>37.92</v>
      </c>
    </row>
    <row r="198" spans="1:7">
      <c r="A198" s="100"/>
      <c r="B198" s="100"/>
      <c r="C198" s="100"/>
      <c r="D198" s="101" t="s">
        <v>248</v>
      </c>
      <c r="E198" s="101"/>
      <c r="F198" s="101"/>
      <c r="G198" s="102">
        <f>G197*1.2882</f>
        <v>48.848544</v>
      </c>
    </row>
    <row r="199" ht="18" customHeight="1" spans="1:7">
      <c r="A199" s="133" t="s">
        <v>319</v>
      </c>
      <c r="B199" s="134"/>
      <c r="C199" s="134"/>
      <c r="D199" s="134"/>
      <c r="E199" s="134"/>
      <c r="F199" s="134"/>
      <c r="G199" s="135"/>
    </row>
    <row r="200" ht="36" customHeight="1" spans="1:7">
      <c r="A200" s="111" t="s">
        <v>320</v>
      </c>
      <c r="B200" s="112"/>
      <c r="C200" s="112"/>
      <c r="D200" s="112"/>
      <c r="E200" s="112"/>
      <c r="F200" s="112"/>
      <c r="G200" s="113"/>
    </row>
    <row r="201" ht="23" customHeight="1" spans="1:7">
      <c r="A201" s="144"/>
      <c r="B201" s="144"/>
      <c r="C201" s="144"/>
      <c r="D201" s="144"/>
      <c r="E201" s="145"/>
      <c r="F201" s="69" t="s">
        <v>321</v>
      </c>
      <c r="G201" s="70"/>
    </row>
    <row r="202" ht="16" customHeight="1" spans="1:7">
      <c r="A202" s="71"/>
      <c r="B202" s="71"/>
      <c r="C202" s="71"/>
      <c r="D202" s="71"/>
      <c r="E202" s="72" t="s">
        <v>226</v>
      </c>
      <c r="F202" s="72"/>
      <c r="G202" s="73">
        <v>44986</v>
      </c>
    </row>
    <row r="203" ht="18" customHeight="1" spans="1:7">
      <c r="A203" s="74" t="s">
        <v>227</v>
      </c>
      <c r="B203" s="74" t="s">
        <v>10</v>
      </c>
      <c r="C203" s="74" t="s">
        <v>40</v>
      </c>
      <c r="D203" s="74" t="s">
        <v>228</v>
      </c>
      <c r="E203" s="75" t="s">
        <v>229</v>
      </c>
      <c r="F203" s="76" t="s">
        <v>230</v>
      </c>
      <c r="G203" s="77"/>
    </row>
    <row r="204" spans="1:7">
      <c r="A204" s="78"/>
      <c r="B204" s="78"/>
      <c r="C204" s="78"/>
      <c r="D204" s="78"/>
      <c r="E204" s="79"/>
      <c r="F204" s="80" t="s">
        <v>231</v>
      </c>
      <c r="G204" s="80" t="s">
        <v>27</v>
      </c>
    </row>
    <row r="205" spans="1:7">
      <c r="A205" s="81"/>
      <c r="B205" s="81"/>
      <c r="C205" s="82" t="s">
        <v>232</v>
      </c>
      <c r="D205" s="83"/>
      <c r="E205" s="84"/>
      <c r="F205" s="85"/>
      <c r="G205" s="85"/>
    </row>
    <row r="206" ht="25.5" spans="1:7">
      <c r="A206" s="86" t="s">
        <v>233</v>
      </c>
      <c r="B206" s="80">
        <v>7311</v>
      </c>
      <c r="C206" s="87" t="s">
        <v>322</v>
      </c>
      <c r="D206" s="80" t="s">
        <v>236</v>
      </c>
      <c r="E206" s="88">
        <v>0.16</v>
      </c>
      <c r="F206" s="89">
        <v>39.01</v>
      </c>
      <c r="G206" s="90">
        <f t="shared" ref="G206:G210" si="11">ROUND(E206*F206,2)</f>
        <v>6.24</v>
      </c>
    </row>
    <row r="207" ht="25.5" spans="1:7">
      <c r="A207" s="86" t="s">
        <v>233</v>
      </c>
      <c r="B207" s="80">
        <v>43652</v>
      </c>
      <c r="C207" s="87" t="s">
        <v>323</v>
      </c>
      <c r="D207" s="80" t="s">
        <v>278</v>
      </c>
      <c r="E207" s="88">
        <v>0.57</v>
      </c>
      <c r="F207" s="89">
        <v>9.51</v>
      </c>
      <c r="G207" s="90">
        <f t="shared" si="11"/>
        <v>5.42</v>
      </c>
    </row>
    <row r="208" ht="25.5" spans="1:7">
      <c r="A208" s="86" t="s">
        <v>233</v>
      </c>
      <c r="B208" s="80">
        <v>43653</v>
      </c>
      <c r="C208" s="87" t="s">
        <v>324</v>
      </c>
      <c r="D208" s="80" t="s">
        <v>236</v>
      </c>
      <c r="E208" s="88">
        <v>0.26</v>
      </c>
      <c r="F208" s="89">
        <v>23.21</v>
      </c>
      <c r="G208" s="90">
        <f t="shared" si="11"/>
        <v>6.03</v>
      </c>
    </row>
    <row r="209" ht="25.5" spans="1:7">
      <c r="A209" s="86" t="s">
        <v>233</v>
      </c>
      <c r="B209" s="80">
        <v>5318</v>
      </c>
      <c r="C209" s="87" t="s">
        <v>325</v>
      </c>
      <c r="D209" s="80" t="s">
        <v>236</v>
      </c>
      <c r="E209" s="88">
        <v>0.04</v>
      </c>
      <c r="F209" s="89">
        <v>26.4</v>
      </c>
      <c r="G209" s="90">
        <f t="shared" si="11"/>
        <v>1.06</v>
      </c>
    </row>
    <row r="210" ht="25.5" spans="1:7">
      <c r="A210" s="86" t="s">
        <v>233</v>
      </c>
      <c r="B210" s="80">
        <v>3767</v>
      </c>
      <c r="C210" s="87" t="s">
        <v>316</v>
      </c>
      <c r="D210" s="80" t="s">
        <v>239</v>
      </c>
      <c r="E210" s="88">
        <v>0.9</v>
      </c>
      <c r="F210" s="89">
        <v>0.79</v>
      </c>
      <c r="G210" s="90">
        <f t="shared" si="11"/>
        <v>0.71</v>
      </c>
    </row>
    <row r="211" spans="1:7">
      <c r="A211" s="92"/>
      <c r="B211" s="92"/>
      <c r="C211" s="93" t="s">
        <v>240</v>
      </c>
      <c r="D211" s="78"/>
      <c r="E211" s="94"/>
      <c r="F211" s="95"/>
      <c r="G211" s="96">
        <f>TRUNC(SUM(G206:G210),2)</f>
        <v>19.46</v>
      </c>
    </row>
    <row r="212" spans="1:7">
      <c r="A212" s="81"/>
      <c r="B212" s="81"/>
      <c r="C212" s="82" t="s">
        <v>241</v>
      </c>
      <c r="D212" s="83"/>
      <c r="E212" s="84"/>
      <c r="F212" s="85"/>
      <c r="G212" s="85"/>
    </row>
    <row r="213" ht="25.5" spans="1:7">
      <c r="A213" s="86" t="s">
        <v>242</v>
      </c>
      <c r="B213" s="80">
        <v>88310</v>
      </c>
      <c r="C213" s="87" t="s">
        <v>317</v>
      </c>
      <c r="D213" s="97" t="s">
        <v>59</v>
      </c>
      <c r="E213" s="88">
        <v>0.75</v>
      </c>
      <c r="F213" s="89">
        <v>23.95</v>
      </c>
      <c r="G213" s="90">
        <f>ROUND(E213*F213,2)</f>
        <v>17.96</v>
      </c>
    </row>
    <row r="214" ht="25.5" spans="1:7">
      <c r="A214" s="86" t="s">
        <v>242</v>
      </c>
      <c r="B214" s="80">
        <v>100301</v>
      </c>
      <c r="C214" s="87" t="s">
        <v>318</v>
      </c>
      <c r="D214" s="97" t="s">
        <v>59</v>
      </c>
      <c r="E214" s="88">
        <v>0.65</v>
      </c>
      <c r="F214" s="89">
        <v>19.81</v>
      </c>
      <c r="G214" s="90">
        <f>ROUND(E214*F214,2)</f>
        <v>12.88</v>
      </c>
    </row>
    <row r="215" spans="1:7">
      <c r="A215" s="92"/>
      <c r="B215" s="92"/>
      <c r="C215" s="93" t="s">
        <v>244</v>
      </c>
      <c r="D215" s="78"/>
      <c r="E215" s="94"/>
      <c r="F215" s="95"/>
      <c r="G215" s="96">
        <f>TRUNC(SUM(G213:G214),2)</f>
        <v>30.84</v>
      </c>
    </row>
    <row r="216" spans="1:7">
      <c r="A216" s="81" t="s">
        <v>245</v>
      </c>
      <c r="B216" s="81"/>
      <c r="C216" s="81"/>
      <c r="D216" s="81"/>
      <c r="E216" s="81"/>
      <c r="F216" s="81"/>
      <c r="G216" s="81"/>
    </row>
    <row r="217" spans="1:7">
      <c r="A217" s="99"/>
      <c r="B217" s="99"/>
      <c r="C217" s="99"/>
      <c r="D217" s="99"/>
      <c r="E217" s="99"/>
      <c r="F217" s="99"/>
      <c r="G217" s="99"/>
    </row>
    <row r="218" spans="1:7">
      <c r="A218" s="100" t="s">
        <v>246</v>
      </c>
      <c r="B218" s="100"/>
      <c r="C218" s="100"/>
      <c r="D218" s="101" t="s">
        <v>247</v>
      </c>
      <c r="E218" s="101"/>
      <c r="F218" s="101"/>
      <c r="G218" s="102">
        <f>TRUNC(SUM(G211,G215),2)</f>
        <v>50.3</v>
      </c>
    </row>
    <row r="219" spans="1:7">
      <c r="A219" s="100"/>
      <c r="B219" s="100"/>
      <c r="C219" s="100"/>
      <c r="D219" s="101" t="s">
        <v>248</v>
      </c>
      <c r="E219" s="101"/>
      <c r="F219" s="101"/>
      <c r="G219" s="102">
        <f>G218*1.2882</f>
        <v>64.79646</v>
      </c>
    </row>
    <row r="220" ht="16" customHeight="1" spans="1:7">
      <c r="A220" s="133" t="s">
        <v>326</v>
      </c>
      <c r="B220" s="134"/>
      <c r="C220" s="134"/>
      <c r="D220" s="134"/>
      <c r="E220" s="134"/>
      <c r="F220" s="134"/>
      <c r="G220" s="135"/>
    </row>
    <row r="221" ht="24" customHeight="1" spans="1:7">
      <c r="A221" s="111" t="s">
        <v>327</v>
      </c>
      <c r="B221" s="112"/>
      <c r="C221" s="112"/>
      <c r="D221" s="112"/>
      <c r="E221" s="112"/>
      <c r="F221" s="112"/>
      <c r="G221" s="113"/>
    </row>
    <row r="222" ht="28" customHeight="1" spans="1:7">
      <c r="A222" s="67"/>
      <c r="B222" s="67"/>
      <c r="C222" s="67"/>
      <c r="D222" s="67"/>
      <c r="E222" s="68"/>
      <c r="F222" s="69" t="s">
        <v>328</v>
      </c>
      <c r="G222" s="70"/>
    </row>
    <row r="223" ht="16" customHeight="1" spans="1:7">
      <c r="A223" s="71"/>
      <c r="B223" s="71"/>
      <c r="C223" s="71"/>
      <c r="D223" s="71"/>
      <c r="E223" s="72" t="s">
        <v>226</v>
      </c>
      <c r="F223" s="72"/>
      <c r="G223" s="73">
        <v>44986</v>
      </c>
    </row>
    <row r="224" spans="1:7">
      <c r="A224" s="74" t="s">
        <v>227</v>
      </c>
      <c r="B224" s="74" t="s">
        <v>10</v>
      </c>
      <c r="C224" s="74" t="s">
        <v>40</v>
      </c>
      <c r="D224" s="74" t="s">
        <v>228</v>
      </c>
      <c r="E224" s="75" t="s">
        <v>229</v>
      </c>
      <c r="F224" s="146" t="s">
        <v>230</v>
      </c>
      <c r="G224" s="147"/>
    </row>
    <row r="225" spans="1:7">
      <c r="A225" s="78"/>
      <c r="B225" s="78"/>
      <c r="C225" s="78"/>
      <c r="D225" s="78"/>
      <c r="E225" s="79"/>
      <c r="F225" s="80" t="s">
        <v>231</v>
      </c>
      <c r="G225" s="80" t="s">
        <v>27</v>
      </c>
    </row>
    <row r="226" spans="1:7">
      <c r="A226" s="81"/>
      <c r="B226" s="81"/>
      <c r="C226" s="82" t="s">
        <v>232</v>
      </c>
      <c r="D226" s="83"/>
      <c r="E226" s="84"/>
      <c r="F226" s="85"/>
      <c r="G226" s="85"/>
    </row>
    <row r="227" ht="25.5" spans="1:7">
      <c r="A227" s="86" t="s">
        <v>233</v>
      </c>
      <c r="B227" s="80">
        <v>38400</v>
      </c>
      <c r="C227" s="87" t="s">
        <v>329</v>
      </c>
      <c r="D227" s="80" t="s">
        <v>239</v>
      </c>
      <c r="E227" s="88">
        <v>0.05</v>
      </c>
      <c r="F227" s="89">
        <v>22.57</v>
      </c>
      <c r="G227" s="90">
        <f>ROUND(E227*F227,2)</f>
        <v>1.13</v>
      </c>
    </row>
    <row r="228" spans="1:7">
      <c r="A228" s="92"/>
      <c r="B228" s="92"/>
      <c r="C228" s="93" t="s">
        <v>240</v>
      </c>
      <c r="D228" s="78"/>
      <c r="E228" s="94"/>
      <c r="F228" s="95"/>
      <c r="G228" s="96">
        <f>TRUNC(SUM(G227:G227),2)</f>
        <v>1.13</v>
      </c>
    </row>
    <row r="229" spans="1:7">
      <c r="A229" s="81"/>
      <c r="B229" s="81"/>
      <c r="C229" s="82" t="s">
        <v>241</v>
      </c>
      <c r="D229" s="83"/>
      <c r="E229" s="84"/>
      <c r="F229" s="85"/>
      <c r="G229" s="85"/>
    </row>
    <row r="230" ht="25.5" spans="1:7">
      <c r="A230" s="86" t="s">
        <v>242</v>
      </c>
      <c r="B230" s="148">
        <v>88316</v>
      </c>
      <c r="C230" s="87" t="s">
        <v>243</v>
      </c>
      <c r="D230" s="97" t="s">
        <v>59</v>
      </c>
      <c r="E230" s="88">
        <v>0.1</v>
      </c>
      <c r="F230" s="89">
        <v>18.42</v>
      </c>
      <c r="G230" s="98">
        <f>ROUND(E230*F230,2)</f>
        <v>1.84</v>
      </c>
    </row>
    <row r="231" spans="1:7">
      <c r="A231" s="92"/>
      <c r="B231" s="92"/>
      <c r="C231" s="93" t="s">
        <v>244</v>
      </c>
      <c r="D231" s="78"/>
      <c r="E231" s="94"/>
      <c r="F231" s="95"/>
      <c r="G231" s="96">
        <f>TRUNC(SUM(G230:G230),2)</f>
        <v>1.84</v>
      </c>
    </row>
    <row r="232" spans="1:7">
      <c r="A232" s="81" t="s">
        <v>245</v>
      </c>
      <c r="B232" s="81"/>
      <c r="C232" s="81"/>
      <c r="D232" s="81"/>
      <c r="E232" s="81"/>
      <c r="F232" s="81"/>
      <c r="G232" s="81"/>
    </row>
    <row r="233" spans="1:7">
      <c r="A233" s="99"/>
      <c r="B233" s="99"/>
      <c r="C233" s="99"/>
      <c r="D233" s="99"/>
      <c r="E233" s="99"/>
      <c r="F233" s="99"/>
      <c r="G233" s="99"/>
    </row>
    <row r="234" spans="1:8">
      <c r="A234" s="100" t="s">
        <v>246</v>
      </c>
      <c r="B234" s="100"/>
      <c r="C234" s="100"/>
      <c r="D234" s="101" t="s">
        <v>247</v>
      </c>
      <c r="E234" s="101"/>
      <c r="F234" s="101"/>
      <c r="G234" s="102">
        <f>TRUNC(SUM(G228,G231),2)</f>
        <v>2.97</v>
      </c>
      <c r="H234" s="149"/>
    </row>
    <row r="235" spans="1:7">
      <c r="A235" s="100"/>
      <c r="B235" s="100"/>
      <c r="C235" s="100"/>
      <c r="D235" s="101" t="s">
        <v>248</v>
      </c>
      <c r="E235" s="101"/>
      <c r="F235" s="101"/>
      <c r="G235" s="102">
        <f>G234*1.2882</f>
        <v>3.825954</v>
      </c>
    </row>
    <row r="236" ht="18" customHeight="1" spans="1:7">
      <c r="A236" s="133" t="s">
        <v>330</v>
      </c>
      <c r="B236" s="134"/>
      <c r="C236" s="134"/>
      <c r="D236" s="134"/>
      <c r="E236" s="134"/>
      <c r="F236" s="134"/>
      <c r="G236" s="135"/>
    </row>
    <row r="237" ht="24" customHeight="1" spans="1:7">
      <c r="A237" s="111" t="s">
        <v>331</v>
      </c>
      <c r="B237" s="112"/>
      <c r="C237" s="112"/>
      <c r="D237" s="112"/>
      <c r="E237" s="112"/>
      <c r="F237" s="112"/>
      <c r="G237" s="113"/>
    </row>
    <row r="238" ht="31" customHeight="1" spans="1:7">
      <c r="A238" s="67"/>
      <c r="B238" s="67"/>
      <c r="C238" s="67"/>
      <c r="D238" s="67"/>
      <c r="E238" s="68"/>
      <c r="F238" s="69" t="s">
        <v>332</v>
      </c>
      <c r="G238" s="70"/>
    </row>
    <row r="239" ht="18" customHeight="1" spans="1:7">
      <c r="A239" s="71"/>
      <c r="B239" s="71"/>
      <c r="C239" s="71"/>
      <c r="D239" s="71"/>
      <c r="E239" s="72" t="s">
        <v>226</v>
      </c>
      <c r="F239" s="72"/>
      <c r="G239" s="73">
        <v>44986</v>
      </c>
    </row>
    <row r="240" ht="15" customHeight="1" spans="1:7">
      <c r="A240" s="74" t="s">
        <v>227</v>
      </c>
      <c r="B240" s="74" t="s">
        <v>10</v>
      </c>
      <c r="C240" s="74" t="s">
        <v>40</v>
      </c>
      <c r="D240" s="74" t="s">
        <v>228</v>
      </c>
      <c r="E240" s="75" t="s">
        <v>229</v>
      </c>
      <c r="F240" s="146" t="s">
        <v>230</v>
      </c>
      <c r="G240" s="147"/>
    </row>
    <row r="241" spans="1:7">
      <c r="A241" s="78"/>
      <c r="B241" s="78"/>
      <c r="C241" s="78"/>
      <c r="D241" s="78"/>
      <c r="E241" s="150" t="s">
        <v>50</v>
      </c>
      <c r="F241" s="80" t="s">
        <v>231</v>
      </c>
      <c r="G241" s="80" t="s">
        <v>27</v>
      </c>
    </row>
    <row r="242" spans="1:7">
      <c r="A242" s="81"/>
      <c r="B242" s="81"/>
      <c r="C242" s="82" t="s">
        <v>232</v>
      </c>
      <c r="D242" s="83"/>
      <c r="E242" s="84"/>
      <c r="F242" s="85"/>
      <c r="G242" s="126"/>
    </row>
    <row r="243" ht="38.25" spans="1:7">
      <c r="A243" s="86" t="s">
        <v>233</v>
      </c>
      <c r="B243" s="80">
        <v>4417</v>
      </c>
      <c r="C243" s="87" t="s">
        <v>333</v>
      </c>
      <c r="D243" s="80" t="s">
        <v>70</v>
      </c>
      <c r="E243" s="88">
        <v>1</v>
      </c>
      <c r="F243" s="89">
        <v>8.43</v>
      </c>
      <c r="G243" s="90">
        <f t="shared" ref="G243:G247" si="12">ROUND(E243*F243,2)</f>
        <v>8.43</v>
      </c>
    </row>
    <row r="244" ht="25.5" spans="1:7">
      <c r="A244" s="86" t="s">
        <v>233</v>
      </c>
      <c r="B244" s="80">
        <v>4491</v>
      </c>
      <c r="C244" s="87" t="s">
        <v>334</v>
      </c>
      <c r="D244" s="80" t="s">
        <v>70</v>
      </c>
      <c r="E244" s="88">
        <v>4</v>
      </c>
      <c r="F244" s="89">
        <v>10.05</v>
      </c>
      <c r="G244" s="90">
        <f t="shared" si="12"/>
        <v>40.2</v>
      </c>
    </row>
    <row r="245" ht="38.25" spans="1:7">
      <c r="A245" s="86" t="s">
        <v>233</v>
      </c>
      <c r="B245" s="80">
        <v>4813</v>
      </c>
      <c r="C245" s="87" t="s">
        <v>335</v>
      </c>
      <c r="D245" s="80" t="s">
        <v>281</v>
      </c>
      <c r="E245" s="88">
        <v>1</v>
      </c>
      <c r="F245" s="89">
        <v>300</v>
      </c>
      <c r="G245" s="90">
        <f t="shared" si="12"/>
        <v>300</v>
      </c>
    </row>
    <row r="246" ht="25.5" spans="1:7">
      <c r="A246" s="86" t="s">
        <v>233</v>
      </c>
      <c r="B246" s="80">
        <v>5075</v>
      </c>
      <c r="C246" s="87" t="s">
        <v>336</v>
      </c>
      <c r="D246" s="80" t="s">
        <v>278</v>
      </c>
      <c r="E246" s="88">
        <v>0.11</v>
      </c>
      <c r="F246" s="89">
        <v>22.38</v>
      </c>
      <c r="G246" s="90">
        <f t="shared" si="12"/>
        <v>2.46</v>
      </c>
    </row>
    <row r="247" ht="51" spans="1:7">
      <c r="A247" s="86" t="s">
        <v>242</v>
      </c>
      <c r="B247" s="80">
        <v>94962</v>
      </c>
      <c r="C247" s="87" t="s">
        <v>337</v>
      </c>
      <c r="D247" s="80" t="s">
        <v>102</v>
      </c>
      <c r="E247" s="88">
        <v>0.01</v>
      </c>
      <c r="F247" s="89">
        <v>388.3</v>
      </c>
      <c r="G247" s="90">
        <f t="shared" si="12"/>
        <v>3.88</v>
      </c>
    </row>
    <row r="248" spans="1:7">
      <c r="A248" s="92"/>
      <c r="B248" s="92"/>
      <c r="C248" s="93" t="s">
        <v>240</v>
      </c>
      <c r="D248" s="78"/>
      <c r="E248" s="94"/>
      <c r="F248" s="95"/>
      <c r="G248" s="128">
        <f>TRUNC(SUM(G243:G247),2)</f>
        <v>354.97</v>
      </c>
    </row>
    <row r="249" spans="1:7">
      <c r="A249" s="81"/>
      <c r="B249" s="81"/>
      <c r="C249" s="82" t="s">
        <v>241</v>
      </c>
      <c r="D249" s="83"/>
      <c r="E249" s="84"/>
      <c r="F249" s="85"/>
      <c r="G249" s="126"/>
    </row>
    <row r="250" ht="25.5" spans="1:7">
      <c r="A250" s="86" t="s">
        <v>242</v>
      </c>
      <c r="B250" s="80">
        <v>88262</v>
      </c>
      <c r="C250" s="87" t="s">
        <v>288</v>
      </c>
      <c r="D250" s="97" t="s">
        <v>59</v>
      </c>
      <c r="E250" s="88">
        <v>1</v>
      </c>
      <c r="F250" s="89">
        <v>22.36</v>
      </c>
      <c r="G250" s="98">
        <f>ROUND(E250*F250,2)</f>
        <v>22.36</v>
      </c>
    </row>
    <row r="251" ht="25.5" spans="1:7">
      <c r="A251" s="86" t="s">
        <v>242</v>
      </c>
      <c r="B251" s="80">
        <v>88316</v>
      </c>
      <c r="C251" s="87" t="s">
        <v>243</v>
      </c>
      <c r="D251" s="97" t="s">
        <v>59</v>
      </c>
      <c r="E251" s="88">
        <v>2</v>
      </c>
      <c r="F251" s="89">
        <v>18.42</v>
      </c>
      <c r="G251" s="98">
        <f>ROUND(E251*F251,2)</f>
        <v>36.84</v>
      </c>
    </row>
    <row r="252" spans="1:7">
      <c r="A252" s="92"/>
      <c r="B252" s="92"/>
      <c r="C252" s="93" t="s">
        <v>244</v>
      </c>
      <c r="D252" s="78"/>
      <c r="E252" s="94"/>
      <c r="F252" s="95"/>
      <c r="G252" s="128">
        <f>TRUNC(SUM(G250:G251),2)</f>
        <v>59.2</v>
      </c>
    </row>
    <row r="253" spans="1:7">
      <c r="A253" s="81" t="s">
        <v>245</v>
      </c>
      <c r="B253" s="81"/>
      <c r="C253" s="81"/>
      <c r="D253" s="81"/>
      <c r="E253" s="81"/>
      <c r="F253" s="81"/>
      <c r="G253" s="81"/>
    </row>
    <row r="254" spans="1:7">
      <c r="A254" s="99"/>
      <c r="B254" s="99"/>
      <c r="C254" s="99"/>
      <c r="D254" s="99"/>
      <c r="E254" s="99"/>
      <c r="F254" s="99"/>
      <c r="G254" s="99"/>
    </row>
    <row r="255" spans="1:7">
      <c r="A255" s="100" t="s">
        <v>246</v>
      </c>
      <c r="B255" s="100"/>
      <c r="C255" s="100"/>
      <c r="D255" s="101" t="s">
        <v>247</v>
      </c>
      <c r="E255" s="101"/>
      <c r="F255" s="101"/>
      <c r="G255" s="129">
        <f>TRUNC(SUM(G248,G252),)</f>
        <v>414</v>
      </c>
    </row>
    <row r="256" spans="1:7">
      <c r="A256" s="100"/>
      <c r="B256" s="100"/>
      <c r="C256" s="100"/>
      <c r="D256" s="101" t="s">
        <v>248</v>
      </c>
      <c r="E256" s="101"/>
      <c r="F256" s="101"/>
      <c r="G256" s="129">
        <f>G255*1.2882</f>
        <v>533.3148</v>
      </c>
    </row>
    <row r="257" spans="1:7">
      <c r="A257" s="151" t="s">
        <v>338</v>
      </c>
      <c r="B257" s="152"/>
      <c r="C257" s="152"/>
      <c r="D257" s="152"/>
      <c r="E257" s="152"/>
      <c r="F257" s="152"/>
      <c r="G257" s="153"/>
    </row>
    <row r="258" ht="46" customHeight="1" spans="1:7">
      <c r="A258" s="111" t="s">
        <v>339</v>
      </c>
      <c r="B258" s="112"/>
      <c r="C258" s="112"/>
      <c r="D258" s="112"/>
      <c r="E258" s="112"/>
      <c r="F258" s="112"/>
      <c r="G258" s="113"/>
    </row>
    <row r="259" ht="26" customHeight="1" spans="1:7">
      <c r="A259" s="67"/>
      <c r="B259" s="67"/>
      <c r="C259" s="67"/>
      <c r="D259" s="67"/>
      <c r="E259" s="68"/>
      <c r="F259" s="69" t="s">
        <v>340</v>
      </c>
      <c r="G259" s="70"/>
    </row>
    <row r="260" ht="15" customHeight="1" spans="1:7">
      <c r="A260" s="71"/>
      <c r="B260" s="71"/>
      <c r="C260" s="71"/>
      <c r="D260" s="71"/>
      <c r="E260" s="72" t="s">
        <v>226</v>
      </c>
      <c r="F260" s="72"/>
      <c r="G260" s="73">
        <v>44986</v>
      </c>
    </row>
    <row r="261" spans="1:7">
      <c r="A261" s="74" t="s">
        <v>227</v>
      </c>
      <c r="B261" s="74" t="s">
        <v>10</v>
      </c>
      <c r="C261" s="74" t="s">
        <v>40</v>
      </c>
      <c r="D261" s="74" t="s">
        <v>228</v>
      </c>
      <c r="E261" s="75" t="s">
        <v>229</v>
      </c>
      <c r="F261" s="146" t="s">
        <v>230</v>
      </c>
      <c r="G261" s="147"/>
    </row>
    <row r="262" spans="1:7">
      <c r="A262" s="78"/>
      <c r="B262" s="78"/>
      <c r="C262" s="78"/>
      <c r="D262" s="78"/>
      <c r="E262" s="150" t="s">
        <v>50</v>
      </c>
      <c r="F262" s="80" t="s">
        <v>231</v>
      </c>
      <c r="G262" s="80" t="s">
        <v>27</v>
      </c>
    </row>
    <row r="263" spans="1:7">
      <c r="A263" s="81"/>
      <c r="B263" s="81"/>
      <c r="C263" s="82" t="s">
        <v>232</v>
      </c>
      <c r="D263" s="83"/>
      <c r="E263" s="84"/>
      <c r="F263" s="85"/>
      <c r="G263" s="126"/>
    </row>
    <row r="264" ht="38.25" spans="1:7">
      <c r="A264" s="86" t="s">
        <v>233</v>
      </c>
      <c r="B264" s="80">
        <v>1607</v>
      </c>
      <c r="C264" s="87" t="s">
        <v>341</v>
      </c>
      <c r="D264" s="80" t="s">
        <v>342</v>
      </c>
      <c r="E264" s="88">
        <v>1.26</v>
      </c>
      <c r="F264" s="89">
        <v>0.2</v>
      </c>
      <c r="G264" s="90">
        <f t="shared" ref="G264:G268" si="13">ROUND(E264*F264,2)</f>
        <v>0.25</v>
      </c>
    </row>
    <row r="265" ht="38.25" spans="1:7">
      <c r="A265" s="86" t="s">
        <v>233</v>
      </c>
      <c r="B265" s="80">
        <v>4302</v>
      </c>
      <c r="C265" s="87" t="s">
        <v>343</v>
      </c>
      <c r="D265" s="80" t="s">
        <v>239</v>
      </c>
      <c r="E265" s="88">
        <v>1.26</v>
      </c>
      <c r="F265" s="89">
        <v>3.14</v>
      </c>
      <c r="G265" s="90">
        <f t="shared" si="13"/>
        <v>3.96</v>
      </c>
    </row>
    <row r="266" ht="25.5" spans="1:7">
      <c r="A266" s="86" t="s">
        <v>233</v>
      </c>
      <c r="B266" s="80">
        <v>34402</v>
      </c>
      <c r="C266" s="87" t="s">
        <v>344</v>
      </c>
      <c r="D266" s="80" t="s">
        <v>228</v>
      </c>
      <c r="E266" s="108">
        <v>0.268</v>
      </c>
      <c r="F266" s="89">
        <v>236.7</v>
      </c>
      <c r="G266" s="90">
        <f t="shared" si="13"/>
        <v>63.44</v>
      </c>
    </row>
    <row r="267" ht="38.25" spans="1:7">
      <c r="A267" s="86" t="s">
        <v>242</v>
      </c>
      <c r="B267" s="86">
        <v>93281</v>
      </c>
      <c r="C267" s="154" t="s">
        <v>269</v>
      </c>
      <c r="D267" s="86" t="s">
        <v>257</v>
      </c>
      <c r="E267" s="86">
        <v>0.0053</v>
      </c>
      <c r="F267" s="89">
        <v>27.8</v>
      </c>
      <c r="G267" s="90">
        <f t="shared" si="13"/>
        <v>0.15</v>
      </c>
    </row>
    <row r="268" ht="38.25" spans="1:7">
      <c r="A268" s="86" t="s">
        <v>242</v>
      </c>
      <c r="B268" s="86">
        <v>93282</v>
      </c>
      <c r="C268" s="154" t="s">
        <v>270</v>
      </c>
      <c r="D268" s="86" t="s">
        <v>260</v>
      </c>
      <c r="E268" s="86">
        <v>0.0073</v>
      </c>
      <c r="F268" s="89">
        <v>26.74</v>
      </c>
      <c r="G268" s="90">
        <f t="shared" si="13"/>
        <v>0.2</v>
      </c>
    </row>
    <row r="269" spans="1:7">
      <c r="A269" s="92"/>
      <c r="B269" s="92"/>
      <c r="C269" s="93" t="s">
        <v>240</v>
      </c>
      <c r="D269" s="78"/>
      <c r="E269" s="94"/>
      <c r="F269" s="95"/>
      <c r="G269" s="128">
        <f>TRUNC(SUM(G264:G268),2)</f>
        <v>68</v>
      </c>
    </row>
    <row r="270" spans="1:7">
      <c r="A270" s="81"/>
      <c r="B270" s="81"/>
      <c r="C270" s="82" t="s">
        <v>241</v>
      </c>
      <c r="D270" s="83"/>
      <c r="E270" s="84"/>
      <c r="F270" s="85"/>
      <c r="G270" s="126"/>
    </row>
    <row r="271" ht="25.5" spans="1:7">
      <c r="A271" s="86" t="s">
        <v>242</v>
      </c>
      <c r="B271" s="86" t="s">
        <v>272</v>
      </c>
      <c r="C271" s="154" t="s">
        <v>243</v>
      </c>
      <c r="D271" s="86" t="s">
        <v>59</v>
      </c>
      <c r="E271" s="86">
        <v>0.166</v>
      </c>
      <c r="F271" s="89">
        <v>18.42</v>
      </c>
      <c r="G271" s="98">
        <f>ROUND(E271*F271,2)</f>
        <v>3.06</v>
      </c>
    </row>
    <row r="272" ht="25.5" spans="1:7">
      <c r="A272" s="86" t="s">
        <v>242</v>
      </c>
      <c r="B272" s="86">
        <v>88323</v>
      </c>
      <c r="C272" s="154" t="s">
        <v>273</v>
      </c>
      <c r="D272" s="86" t="s">
        <v>59</v>
      </c>
      <c r="E272" s="86">
        <v>0.128</v>
      </c>
      <c r="F272" s="89">
        <v>22.15</v>
      </c>
      <c r="G272" s="98">
        <f>ROUND(E272*F272,2)</f>
        <v>2.84</v>
      </c>
    </row>
    <row r="273" spans="1:7">
      <c r="A273" s="92"/>
      <c r="B273" s="92"/>
      <c r="C273" s="93" t="s">
        <v>244</v>
      </c>
      <c r="D273" s="78"/>
      <c r="E273" s="94"/>
      <c r="F273" s="95"/>
      <c r="G273" s="128">
        <f>TRUNC(SUM(G271:G272),2)</f>
        <v>5.9</v>
      </c>
    </row>
    <row r="274" spans="1:7">
      <c r="A274" s="81" t="s">
        <v>245</v>
      </c>
      <c r="B274" s="81"/>
      <c r="C274" s="81"/>
      <c r="D274" s="81"/>
      <c r="E274" s="81"/>
      <c r="F274" s="81"/>
      <c r="G274" s="81"/>
    </row>
    <row r="275" spans="1:7">
      <c r="A275" s="99"/>
      <c r="B275" s="99"/>
      <c r="C275" s="99"/>
      <c r="D275" s="99"/>
      <c r="E275" s="99"/>
      <c r="F275" s="99"/>
      <c r="G275" s="99"/>
    </row>
    <row r="276" spans="1:7">
      <c r="A276" s="100" t="s">
        <v>246</v>
      </c>
      <c r="B276" s="100"/>
      <c r="C276" s="100"/>
      <c r="D276" s="101" t="s">
        <v>247</v>
      </c>
      <c r="E276" s="101"/>
      <c r="F276" s="101"/>
      <c r="G276" s="129">
        <f>TRUNC(SUM(G269,G273),)</f>
        <v>73</v>
      </c>
    </row>
    <row r="277" spans="1:7">
      <c r="A277" s="100"/>
      <c r="B277" s="100"/>
      <c r="C277" s="100"/>
      <c r="D277" s="101" t="s">
        <v>248</v>
      </c>
      <c r="E277" s="101"/>
      <c r="F277" s="101"/>
      <c r="G277" s="129">
        <f>G276*1.2882</f>
        <v>94.0386</v>
      </c>
    </row>
    <row r="278" ht="15" customHeight="1" spans="1:7">
      <c r="A278" s="151" t="s">
        <v>338</v>
      </c>
      <c r="B278" s="152"/>
      <c r="C278" s="152"/>
      <c r="D278" s="152"/>
      <c r="E278" s="152"/>
      <c r="F278" s="152"/>
      <c r="G278" s="153"/>
    </row>
    <row r="279" ht="39" customHeight="1" spans="1:7">
      <c r="A279" s="111" t="s">
        <v>345</v>
      </c>
      <c r="B279" s="112"/>
      <c r="C279" s="112"/>
      <c r="D279" s="112"/>
      <c r="E279" s="112"/>
      <c r="F279" s="112"/>
      <c r="G279" s="113"/>
    </row>
    <row r="280" ht="27" customHeight="1" spans="1:7">
      <c r="A280" s="67"/>
      <c r="B280" s="67"/>
      <c r="C280" s="67"/>
      <c r="D280" s="67"/>
      <c r="E280" s="68"/>
      <c r="F280" s="69" t="s">
        <v>346</v>
      </c>
      <c r="G280" s="70"/>
    </row>
    <row r="281" spans="1:7">
      <c r="A281" s="71"/>
      <c r="B281" s="71"/>
      <c r="C281" s="71"/>
      <c r="D281" s="71"/>
      <c r="E281" s="72" t="s">
        <v>226</v>
      </c>
      <c r="F281" s="72"/>
      <c r="G281" s="73">
        <v>44986</v>
      </c>
    </row>
    <row r="282" spans="1:7">
      <c r="A282" s="74" t="s">
        <v>227</v>
      </c>
      <c r="B282" s="74" t="s">
        <v>10</v>
      </c>
      <c r="C282" s="74" t="s">
        <v>40</v>
      </c>
      <c r="D282" s="74" t="s">
        <v>228</v>
      </c>
      <c r="E282" s="75" t="s">
        <v>229</v>
      </c>
      <c r="F282" s="146" t="s">
        <v>230</v>
      </c>
      <c r="G282" s="147"/>
    </row>
    <row r="283" spans="1:7">
      <c r="A283" s="78"/>
      <c r="B283" s="78"/>
      <c r="C283" s="78"/>
      <c r="D283" s="78"/>
      <c r="E283" s="150" t="s">
        <v>50</v>
      </c>
      <c r="F283" s="80" t="s">
        <v>231</v>
      </c>
      <c r="G283" s="80" t="s">
        <v>27</v>
      </c>
    </row>
    <row r="284" spans="1:7">
      <c r="A284" s="81"/>
      <c r="B284" s="81"/>
      <c r="C284" s="82" t="s">
        <v>232</v>
      </c>
      <c r="D284" s="83"/>
      <c r="E284" s="84"/>
      <c r="F284" s="85"/>
      <c r="G284" s="126"/>
    </row>
    <row r="285" ht="38.25" spans="1:7">
      <c r="A285" s="86" t="s">
        <v>233</v>
      </c>
      <c r="B285" s="86" t="s">
        <v>347</v>
      </c>
      <c r="C285" s="154" t="s">
        <v>341</v>
      </c>
      <c r="D285" s="86" t="s">
        <v>342</v>
      </c>
      <c r="E285" s="86">
        <v>4.2</v>
      </c>
      <c r="F285" s="89">
        <v>0.2</v>
      </c>
      <c r="G285" s="90">
        <f t="shared" ref="G285:G289" si="14">ROUND(E285*F285,2)</f>
        <v>0.84</v>
      </c>
    </row>
    <row r="286" ht="38.25" spans="1:7">
      <c r="A286" s="86" t="s">
        <v>233</v>
      </c>
      <c r="B286" s="86" t="s">
        <v>348</v>
      </c>
      <c r="C286" s="154" t="s">
        <v>343</v>
      </c>
      <c r="D286" s="86" t="s">
        <v>239</v>
      </c>
      <c r="E286" s="86">
        <v>4.2</v>
      </c>
      <c r="F286" s="89">
        <v>3.14</v>
      </c>
      <c r="G286" s="90">
        <f t="shared" si="14"/>
        <v>13.19</v>
      </c>
    </row>
    <row r="287" ht="38.25" spans="1:7">
      <c r="A287" s="86" t="s">
        <v>233</v>
      </c>
      <c r="B287" s="86">
        <v>7216</v>
      </c>
      <c r="C287" s="154" t="s">
        <v>349</v>
      </c>
      <c r="D287" s="86" t="s">
        <v>228</v>
      </c>
      <c r="E287" s="86">
        <v>0.268</v>
      </c>
      <c r="F287" s="89">
        <v>82.75</v>
      </c>
      <c r="G287" s="90">
        <f t="shared" si="14"/>
        <v>22.18</v>
      </c>
    </row>
    <row r="288" ht="38.25" spans="1:7">
      <c r="A288" s="86" t="s">
        <v>242</v>
      </c>
      <c r="B288" s="86" t="s">
        <v>350</v>
      </c>
      <c r="C288" s="154" t="s">
        <v>269</v>
      </c>
      <c r="D288" s="86" t="s">
        <v>257</v>
      </c>
      <c r="E288" s="86">
        <v>0.0018</v>
      </c>
      <c r="F288" s="89">
        <v>27.8</v>
      </c>
      <c r="G288" s="90">
        <f t="shared" si="14"/>
        <v>0.05</v>
      </c>
    </row>
    <row r="289" ht="38.25" spans="1:7">
      <c r="A289" s="86" t="s">
        <v>242</v>
      </c>
      <c r="B289" s="86" t="s">
        <v>351</v>
      </c>
      <c r="C289" s="154" t="s">
        <v>270</v>
      </c>
      <c r="D289" s="86" t="s">
        <v>260</v>
      </c>
      <c r="E289" s="86">
        <v>0.0026</v>
      </c>
      <c r="F289" s="89">
        <v>26.74</v>
      </c>
      <c r="G289" s="90">
        <f t="shared" si="14"/>
        <v>0.07</v>
      </c>
    </row>
    <row r="290" spans="1:7">
      <c r="A290" s="92"/>
      <c r="B290" s="92"/>
      <c r="C290" s="93" t="s">
        <v>240</v>
      </c>
      <c r="D290" s="78"/>
      <c r="E290" s="94"/>
      <c r="F290" s="95"/>
      <c r="G290" s="128">
        <f>TRUNC(SUM(G285:G289),2)</f>
        <v>36.33</v>
      </c>
    </row>
    <row r="291" spans="1:7">
      <c r="A291" s="81"/>
      <c r="B291" s="81"/>
      <c r="C291" s="82" t="s">
        <v>241</v>
      </c>
      <c r="D291" s="83"/>
      <c r="E291" s="84"/>
      <c r="F291" s="85"/>
      <c r="G291" s="126"/>
    </row>
    <row r="292" ht="25.5" spans="1:7">
      <c r="A292" s="86" t="s">
        <v>242</v>
      </c>
      <c r="B292" s="86" t="s">
        <v>272</v>
      </c>
      <c r="C292" s="154" t="s">
        <v>243</v>
      </c>
      <c r="D292" s="86" t="s">
        <v>59</v>
      </c>
      <c r="E292" s="86">
        <v>0.166</v>
      </c>
      <c r="F292" s="89">
        <v>18.42</v>
      </c>
      <c r="G292" s="98">
        <f>ROUND(E292*F292,2)</f>
        <v>3.06</v>
      </c>
    </row>
    <row r="293" ht="25.5" spans="1:7">
      <c r="A293" s="86" t="s">
        <v>242</v>
      </c>
      <c r="B293" s="86" t="s">
        <v>352</v>
      </c>
      <c r="C293" s="154" t="s">
        <v>273</v>
      </c>
      <c r="D293" s="86" t="s">
        <v>59</v>
      </c>
      <c r="E293" s="86">
        <v>0.128</v>
      </c>
      <c r="F293" s="89">
        <v>22.15</v>
      </c>
      <c r="G293" s="98">
        <f>ROUND(E293*F293,2)</f>
        <v>2.84</v>
      </c>
    </row>
    <row r="294" spans="1:7">
      <c r="A294" s="92"/>
      <c r="B294" s="92"/>
      <c r="C294" s="93" t="s">
        <v>244</v>
      </c>
      <c r="D294" s="78"/>
      <c r="E294" s="94"/>
      <c r="F294" s="95"/>
      <c r="G294" s="128">
        <f>TRUNC(SUM(G292:G293),2)</f>
        <v>5.9</v>
      </c>
    </row>
    <row r="295" spans="1:7">
      <c r="A295" s="81" t="s">
        <v>245</v>
      </c>
      <c r="B295" s="81"/>
      <c r="C295" s="81"/>
      <c r="D295" s="81"/>
      <c r="E295" s="81"/>
      <c r="F295" s="81"/>
      <c r="G295" s="81"/>
    </row>
    <row r="296" spans="1:7">
      <c r="A296" s="99"/>
      <c r="B296" s="99"/>
      <c r="C296" s="99"/>
      <c r="D296" s="99"/>
      <c r="E296" s="99"/>
      <c r="F296" s="99"/>
      <c r="G296" s="99"/>
    </row>
    <row r="297" spans="1:7">
      <c r="A297" s="100" t="s">
        <v>246</v>
      </c>
      <c r="B297" s="100"/>
      <c r="C297" s="100"/>
      <c r="D297" s="101" t="s">
        <v>247</v>
      </c>
      <c r="E297" s="101"/>
      <c r="F297" s="101"/>
      <c r="G297" s="129">
        <f>TRUNC(SUM(G290,G294),)</f>
        <v>42</v>
      </c>
    </row>
    <row r="298" spans="1:7">
      <c r="A298" s="100"/>
      <c r="B298" s="100"/>
      <c r="C298" s="100"/>
      <c r="D298" s="101" t="s">
        <v>248</v>
      </c>
      <c r="E298" s="101"/>
      <c r="F298" s="101"/>
      <c r="G298" s="129">
        <f>G297*1.2882</f>
        <v>54.1044</v>
      </c>
    </row>
    <row r="299" ht="14" customHeight="1" spans="1:7">
      <c r="A299" s="151" t="s">
        <v>338</v>
      </c>
      <c r="B299" s="152"/>
      <c r="C299" s="152"/>
      <c r="D299" s="152"/>
      <c r="E299" s="152"/>
      <c r="F299" s="152"/>
      <c r="G299" s="153"/>
    </row>
    <row r="300" ht="21" customHeight="1" spans="1:7">
      <c r="A300" s="111" t="s">
        <v>353</v>
      </c>
      <c r="B300" s="112"/>
      <c r="C300" s="112"/>
      <c r="D300" s="112"/>
      <c r="E300" s="112"/>
      <c r="F300" s="112"/>
      <c r="G300" s="113"/>
    </row>
    <row r="301" ht="24" customHeight="1" spans="1:7">
      <c r="A301" s="67"/>
      <c r="B301" s="67"/>
      <c r="C301" s="67"/>
      <c r="D301" s="67"/>
      <c r="E301" s="68"/>
      <c r="F301" s="69" t="s">
        <v>354</v>
      </c>
      <c r="G301" s="70"/>
    </row>
    <row r="302" spans="1:7">
      <c r="A302" s="71"/>
      <c r="B302" s="71"/>
      <c r="C302" s="71"/>
      <c r="D302" s="71"/>
      <c r="E302" s="72" t="s">
        <v>226</v>
      </c>
      <c r="F302" s="72"/>
      <c r="G302" s="73">
        <v>44986</v>
      </c>
    </row>
    <row r="303" spans="1:7">
      <c r="A303" s="74" t="s">
        <v>227</v>
      </c>
      <c r="B303" s="74" t="s">
        <v>10</v>
      </c>
      <c r="C303" s="74" t="s">
        <v>40</v>
      </c>
      <c r="D303" s="74" t="s">
        <v>228</v>
      </c>
      <c r="E303" s="75" t="s">
        <v>229</v>
      </c>
      <c r="F303" s="76" t="s">
        <v>230</v>
      </c>
      <c r="G303" s="77"/>
    </row>
    <row r="304" spans="1:7">
      <c r="A304" s="78"/>
      <c r="B304" s="78"/>
      <c r="C304" s="78"/>
      <c r="D304" s="78"/>
      <c r="E304" s="79"/>
      <c r="F304" s="80" t="s">
        <v>231</v>
      </c>
      <c r="G304" s="80" t="s">
        <v>27</v>
      </c>
    </row>
    <row r="305" spans="1:7">
      <c r="A305" s="81"/>
      <c r="B305" s="81"/>
      <c r="C305" s="82" t="s">
        <v>252</v>
      </c>
      <c r="D305" s="83"/>
      <c r="E305" s="84"/>
      <c r="F305" s="85"/>
      <c r="G305" s="85"/>
    </row>
    <row r="306" ht="89.25" spans="1:7">
      <c r="A306" s="86" t="s">
        <v>233</v>
      </c>
      <c r="B306" s="80">
        <v>10527</v>
      </c>
      <c r="C306" s="87" t="s">
        <v>253</v>
      </c>
      <c r="D306" s="97" t="s">
        <v>254</v>
      </c>
      <c r="E306" s="108">
        <f>1*(1/30*(2/24))</f>
        <v>0.00277777777777778</v>
      </c>
      <c r="F306" s="89">
        <v>14.5</v>
      </c>
      <c r="G306" s="98">
        <f>ROUND(E306*F306,2)</f>
        <v>0.04</v>
      </c>
    </row>
    <row r="307" spans="1:7">
      <c r="A307" s="92"/>
      <c r="B307" s="92"/>
      <c r="C307" s="93" t="s">
        <v>240</v>
      </c>
      <c r="D307" s="78"/>
      <c r="E307" s="94"/>
      <c r="F307" s="95"/>
      <c r="G307" s="128">
        <f>TRUNC(SUM(G306),2)</f>
        <v>0.04</v>
      </c>
    </row>
    <row r="308" spans="1:7">
      <c r="A308" s="81"/>
      <c r="B308" s="81"/>
      <c r="C308" s="82" t="s">
        <v>241</v>
      </c>
      <c r="D308" s="83"/>
      <c r="E308" s="84"/>
      <c r="F308" s="85"/>
      <c r="G308" s="85"/>
    </row>
    <row r="309" ht="25.5" spans="1:7">
      <c r="A309" s="86" t="s">
        <v>242</v>
      </c>
      <c r="B309" s="80">
        <v>88309</v>
      </c>
      <c r="C309" s="87" t="s">
        <v>261</v>
      </c>
      <c r="D309" s="86" t="s">
        <v>59</v>
      </c>
      <c r="E309" s="110">
        <v>0.0374</v>
      </c>
      <c r="F309" s="89">
        <v>22.71</v>
      </c>
      <c r="G309" s="98">
        <f>ROUND(E309*F309,2)</f>
        <v>0.85</v>
      </c>
    </row>
    <row r="310" ht="25.5" spans="1:7">
      <c r="A310" s="86" t="s">
        <v>242</v>
      </c>
      <c r="B310" s="80">
        <v>88316</v>
      </c>
      <c r="C310" s="87" t="s">
        <v>243</v>
      </c>
      <c r="D310" s="86" t="s">
        <v>59</v>
      </c>
      <c r="E310" s="110">
        <v>0.1053</v>
      </c>
      <c r="F310" s="89">
        <v>18.42</v>
      </c>
      <c r="G310" s="98">
        <f>ROUND(E310*F310,2)</f>
        <v>1.94</v>
      </c>
    </row>
    <row r="311" spans="1:7">
      <c r="A311" s="92"/>
      <c r="B311" s="92"/>
      <c r="C311" s="93" t="s">
        <v>244</v>
      </c>
      <c r="D311" s="78"/>
      <c r="E311" s="94"/>
      <c r="F311" s="95"/>
      <c r="G311" s="96">
        <f>TRUNC(SUM(G309:G310),2)</f>
        <v>2.79</v>
      </c>
    </row>
    <row r="312" spans="1:7">
      <c r="A312" s="81" t="s">
        <v>245</v>
      </c>
      <c r="B312" s="81"/>
      <c r="C312" s="81"/>
      <c r="D312" s="81"/>
      <c r="E312" s="81"/>
      <c r="F312" s="81"/>
      <c r="G312" s="81"/>
    </row>
    <row r="313" spans="1:7">
      <c r="A313" s="99"/>
      <c r="B313" s="99"/>
      <c r="C313" s="99"/>
      <c r="D313" s="99"/>
      <c r="E313" s="99"/>
      <c r="F313" s="99"/>
      <c r="G313" s="99"/>
    </row>
    <row r="314" spans="1:7">
      <c r="A314" s="100" t="s">
        <v>246</v>
      </c>
      <c r="B314" s="100"/>
      <c r="C314" s="100"/>
      <c r="D314" s="101" t="s">
        <v>247</v>
      </c>
      <c r="E314" s="101"/>
      <c r="F314" s="101"/>
      <c r="G314" s="102">
        <f>TRUNC(SUM(G307,G311),2)</f>
        <v>2.83</v>
      </c>
    </row>
    <row r="315" spans="1:7">
      <c r="A315" s="100"/>
      <c r="B315" s="100"/>
      <c r="C315" s="100"/>
      <c r="D315" s="101" t="s">
        <v>248</v>
      </c>
      <c r="E315" s="101"/>
      <c r="F315" s="101"/>
      <c r="G315" s="102">
        <f>G314*1.2882</f>
        <v>3.645606</v>
      </c>
    </row>
    <row r="316" spans="1:7">
      <c r="A316" s="103" t="s">
        <v>355</v>
      </c>
      <c r="B316" s="104"/>
      <c r="C316" s="104"/>
      <c r="D316" s="104"/>
      <c r="E316" s="104"/>
      <c r="F316" s="104"/>
      <c r="G316" s="105"/>
    </row>
    <row r="317" ht="36" customHeight="1" spans="1:7">
      <c r="A317" s="111" t="s">
        <v>356</v>
      </c>
      <c r="B317" s="112"/>
      <c r="C317" s="112"/>
      <c r="D317" s="112"/>
      <c r="E317" s="112"/>
      <c r="F317" s="112"/>
      <c r="G317" s="113"/>
    </row>
    <row r="318" ht="25" customHeight="1" spans="1:7">
      <c r="A318" s="67"/>
      <c r="B318" s="67"/>
      <c r="C318" s="67"/>
      <c r="D318" s="67"/>
      <c r="E318" s="68"/>
      <c r="F318" s="69" t="s">
        <v>357</v>
      </c>
      <c r="G318" s="70"/>
    </row>
    <row r="319" ht="13" customHeight="1" spans="1:7">
      <c r="A319" s="71"/>
      <c r="B319" s="71"/>
      <c r="C319" s="71"/>
      <c r="D319" s="71"/>
      <c r="E319" s="72" t="s">
        <v>226</v>
      </c>
      <c r="F319" s="72"/>
      <c r="G319" s="73">
        <v>44986</v>
      </c>
    </row>
    <row r="320" ht="13" customHeight="1" spans="1:7">
      <c r="A320" s="74" t="s">
        <v>227</v>
      </c>
      <c r="B320" s="74" t="s">
        <v>10</v>
      </c>
      <c r="C320" s="74" t="s">
        <v>40</v>
      </c>
      <c r="D320" s="74" t="s">
        <v>228</v>
      </c>
      <c r="E320" s="75" t="s">
        <v>229</v>
      </c>
      <c r="F320" s="76" t="s">
        <v>230</v>
      </c>
      <c r="G320" s="77"/>
    </row>
    <row r="321" ht="13" customHeight="1" spans="1:7">
      <c r="A321" s="78"/>
      <c r="B321" s="78"/>
      <c r="C321" s="78"/>
      <c r="D321" s="78"/>
      <c r="E321" s="79"/>
      <c r="F321" s="80" t="s">
        <v>231</v>
      </c>
      <c r="G321" s="80" t="s">
        <v>27</v>
      </c>
    </row>
    <row r="322" spans="1:7">
      <c r="A322" s="81"/>
      <c r="B322" s="81"/>
      <c r="C322" s="82" t="s">
        <v>358</v>
      </c>
      <c r="D322" s="83"/>
      <c r="E322" s="84"/>
      <c r="F322" s="85"/>
      <c r="G322" s="85"/>
    </row>
    <row r="323" ht="25.5" spans="1:7">
      <c r="A323" s="86" t="s">
        <v>242</v>
      </c>
      <c r="B323" s="80">
        <v>100717</v>
      </c>
      <c r="C323" s="87" t="s">
        <v>359</v>
      </c>
      <c r="D323" s="97" t="s">
        <v>66</v>
      </c>
      <c r="E323" s="108">
        <v>2</v>
      </c>
      <c r="F323" s="89">
        <v>7.86</v>
      </c>
      <c r="G323" s="98">
        <f>ROUND(E323*F323,2)</f>
        <v>15.72</v>
      </c>
    </row>
    <row r="324" ht="51" spans="1:7">
      <c r="A324" s="86" t="s">
        <v>242</v>
      </c>
      <c r="B324" s="80">
        <v>100721</v>
      </c>
      <c r="C324" s="87" t="s">
        <v>360</v>
      </c>
      <c r="D324" s="97" t="s">
        <v>66</v>
      </c>
      <c r="E324" s="108">
        <v>2</v>
      </c>
      <c r="F324" s="89">
        <v>22.67</v>
      </c>
      <c r="G324" s="98">
        <f>ROUND(E324*F324,2)</f>
        <v>45.34</v>
      </c>
    </row>
    <row r="325" ht="63.75" spans="1:7">
      <c r="A325" s="86" t="s">
        <v>242</v>
      </c>
      <c r="B325" s="80">
        <v>100725</v>
      </c>
      <c r="C325" s="87" t="s">
        <v>361</v>
      </c>
      <c r="D325" s="97" t="s">
        <v>66</v>
      </c>
      <c r="E325" s="108">
        <v>2</v>
      </c>
      <c r="F325" s="89">
        <v>22.93</v>
      </c>
      <c r="G325" s="98">
        <f>ROUND(E325*F325,2)</f>
        <v>45.86</v>
      </c>
    </row>
    <row r="326" spans="1:7">
      <c r="A326" s="92"/>
      <c r="B326" s="92"/>
      <c r="C326" s="93" t="s">
        <v>271</v>
      </c>
      <c r="D326" s="78"/>
      <c r="E326" s="94"/>
      <c r="F326" s="95"/>
      <c r="G326" s="128">
        <f>TRUNC(SUM(G323:G325),2)</f>
        <v>106.92</v>
      </c>
    </row>
    <row r="327" spans="1:7">
      <c r="A327" s="81" t="s">
        <v>245</v>
      </c>
      <c r="B327" s="81"/>
      <c r="C327" s="81"/>
      <c r="D327" s="81"/>
      <c r="E327" s="81"/>
      <c r="F327" s="81"/>
      <c r="G327" s="81"/>
    </row>
    <row r="328" spans="1:7">
      <c r="A328" s="99"/>
      <c r="B328" s="99"/>
      <c r="C328" s="99"/>
      <c r="D328" s="99"/>
      <c r="E328" s="99"/>
      <c r="F328" s="99"/>
      <c r="G328" s="99"/>
    </row>
    <row r="329" spans="1:7">
      <c r="A329" s="100" t="s">
        <v>246</v>
      </c>
      <c r="B329" s="100"/>
      <c r="C329" s="100"/>
      <c r="D329" s="101" t="s">
        <v>247</v>
      </c>
      <c r="E329" s="101"/>
      <c r="F329" s="101"/>
      <c r="G329" s="102">
        <f>TRUNC(SUM(G326),2)</f>
        <v>106.92</v>
      </c>
    </row>
    <row r="330" spans="1:7">
      <c r="A330" s="100"/>
      <c r="B330" s="100"/>
      <c r="C330" s="100"/>
      <c r="D330" s="101" t="s">
        <v>248</v>
      </c>
      <c r="E330" s="101"/>
      <c r="F330" s="101"/>
      <c r="G330" s="102">
        <f>G329*1.2882</f>
        <v>137.734344</v>
      </c>
    </row>
    <row r="331" spans="1:7">
      <c r="A331" s="103" t="s">
        <v>362</v>
      </c>
      <c r="B331" s="104"/>
      <c r="C331" s="104"/>
      <c r="D331" s="104"/>
      <c r="E331" s="104"/>
      <c r="F331" s="104"/>
      <c r="G331" s="105"/>
    </row>
  </sheetData>
  <mergeCells count="66">
    <mergeCell ref="A1:G1"/>
    <mergeCell ref="A2:G2"/>
    <mergeCell ref="B3:G3"/>
    <mergeCell ref="B4:G4"/>
    <mergeCell ref="B5:G5"/>
    <mergeCell ref="A6:G6"/>
    <mergeCell ref="A7:G7"/>
    <mergeCell ref="F8:G8"/>
    <mergeCell ref="F10:G10"/>
    <mergeCell ref="A23:G23"/>
    <mergeCell ref="A24:G24"/>
    <mergeCell ref="F25:G25"/>
    <mergeCell ref="F27:G27"/>
    <mergeCell ref="A42:G42"/>
    <mergeCell ref="A43:G43"/>
    <mergeCell ref="F44:G44"/>
    <mergeCell ref="F46:G46"/>
    <mergeCell ref="A56:G56"/>
    <mergeCell ref="A57:G57"/>
    <mergeCell ref="F58:G58"/>
    <mergeCell ref="F60:G60"/>
    <mergeCell ref="A74:G74"/>
    <mergeCell ref="A75:G75"/>
    <mergeCell ref="F76:G76"/>
    <mergeCell ref="F78:G78"/>
    <mergeCell ref="A102:G102"/>
    <mergeCell ref="A103:G103"/>
    <mergeCell ref="F104:G104"/>
    <mergeCell ref="F106:G106"/>
    <mergeCell ref="A126:G126"/>
    <mergeCell ref="A127:G127"/>
    <mergeCell ref="F128:G128"/>
    <mergeCell ref="F130:G130"/>
    <mergeCell ref="A144:G144"/>
    <mergeCell ref="A145:G145"/>
    <mergeCell ref="F146:G146"/>
    <mergeCell ref="F148:G148"/>
    <mergeCell ref="A179:G179"/>
    <mergeCell ref="A180:G180"/>
    <mergeCell ref="F181:G181"/>
    <mergeCell ref="F183:G183"/>
    <mergeCell ref="A199:G199"/>
    <mergeCell ref="A200:G200"/>
    <mergeCell ref="F201:G201"/>
    <mergeCell ref="F203:G203"/>
    <mergeCell ref="A220:G220"/>
    <mergeCell ref="A221:G221"/>
    <mergeCell ref="F222:G222"/>
    <mergeCell ref="A236:G236"/>
    <mergeCell ref="A237:G237"/>
    <mergeCell ref="F238:G238"/>
    <mergeCell ref="A257:G257"/>
    <mergeCell ref="A258:G258"/>
    <mergeCell ref="F259:G259"/>
    <mergeCell ref="A278:G278"/>
    <mergeCell ref="A279:G279"/>
    <mergeCell ref="F280:G280"/>
    <mergeCell ref="A299:G299"/>
    <mergeCell ref="A300:G300"/>
    <mergeCell ref="F301:G301"/>
    <mergeCell ref="F303:G303"/>
    <mergeCell ref="A316:G316"/>
    <mergeCell ref="A317:G317"/>
    <mergeCell ref="F318:G318"/>
    <mergeCell ref="F320:G320"/>
    <mergeCell ref="A331:G331"/>
  </mergeCells>
  <printOptions horizontalCentered="1"/>
  <pageMargins left="0.251388888888889" right="0.251388888888889" top="0.751388888888889" bottom="0.751388888888889" header="0.298611111111111" footer="0.298611111111111"/>
  <pageSetup paperSize="9" scale="75" orientation="portrait" horizontalDpi="600"/>
  <headerFooter/>
  <rowBreaks count="10" manualBreakCount="10">
    <brk id="42" max="6" man="1"/>
    <brk id="74" max="6" man="1"/>
    <brk id="102" max="6" man="1"/>
    <brk id="126" max="6" man="1"/>
    <brk id="162" max="6" man="1"/>
    <brk id="199" max="6" man="1"/>
    <brk id="236" max="6" man="1"/>
    <brk id="257" max="6" man="1"/>
    <brk id="278" max="6" man="1"/>
    <brk id="299" max="6" man="1"/>
  </rowBreaks>
  <ignoredErrors>
    <ignoredError sqref="B288:B298;B285:B286;B271;B172:B173;B154;B137:B138;B67;B32;B13:B15;B34;B155:B158;B162:B166;B160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ilha7"/>
  <dimension ref="A1:D18"/>
  <sheetViews>
    <sheetView view="pageBreakPreview" zoomScaleNormal="100" topLeftCell="A7" workbookViewId="0">
      <selection activeCell="A2" sqref="A2:D2"/>
    </sheetView>
  </sheetViews>
  <sheetFormatPr defaultColWidth="10.6666666666667" defaultRowHeight="12.75" outlineLevelCol="3"/>
  <cols>
    <col min="1" max="1" width="32.6666666666667" style="26" customWidth="1"/>
    <col min="2" max="2" width="27.6666666666667" style="26" customWidth="1"/>
    <col min="3" max="3" width="27.1111111111111" style="26" customWidth="1"/>
    <col min="4" max="4" width="23.1111111111111" style="26" customWidth="1"/>
    <col min="5" max="16384" width="10.6666666666667" style="26"/>
  </cols>
  <sheetData>
    <row r="1" ht="81" customHeight="1" spans="1:4">
      <c r="A1" s="27" t="s">
        <v>0</v>
      </c>
      <c r="B1" s="28"/>
      <c r="C1" s="28"/>
      <c r="D1" s="29"/>
    </row>
    <row r="2" ht="19.05" customHeight="1" spans="1:4">
      <c r="A2" s="30" t="s">
        <v>363</v>
      </c>
      <c r="B2" s="31"/>
      <c r="C2" s="31"/>
      <c r="D2" s="32"/>
    </row>
    <row r="3" ht="58.05" customHeight="1" spans="1:4">
      <c r="A3" s="33" t="s">
        <v>31</v>
      </c>
      <c r="B3" s="34" t="str">
        <f>'RESUMO '!C4</f>
        <v>CONTRATAÇÃO DE EMPRESA DE ENGENHARIA PARA A EXECUÇÃO DAS OBRAS DE REFORMA DA COBERTA DO PRÉDIO DA PREFEITURA DO MUNICÍPIO DE CAMARAGIBE - PE.</v>
      </c>
      <c r="C3" s="34"/>
      <c r="D3" s="34"/>
    </row>
    <row r="4" ht="33" customHeight="1" spans="1:4">
      <c r="A4" s="35" t="s">
        <v>33</v>
      </c>
      <c r="B4" s="34" t="s">
        <v>364</v>
      </c>
      <c r="C4" s="34"/>
      <c r="D4" s="34"/>
    </row>
    <row r="5" ht="36" customHeight="1" spans="1:4">
      <c r="A5" s="36" t="s">
        <v>365</v>
      </c>
      <c r="B5" s="36"/>
      <c r="C5" s="36"/>
      <c r="D5" s="36"/>
    </row>
    <row r="6" ht="18.75" customHeight="1" spans="1:4">
      <c r="A6" s="37" t="s">
        <v>366</v>
      </c>
      <c r="B6" s="37"/>
      <c r="C6" s="37" t="s">
        <v>54</v>
      </c>
      <c r="D6" s="37"/>
    </row>
    <row r="7" ht="36" customHeight="1" spans="1:4">
      <c r="A7" s="38" t="s">
        <v>367</v>
      </c>
      <c r="B7" s="39" t="s">
        <v>368</v>
      </c>
      <c r="C7" s="40">
        <v>0.03</v>
      </c>
      <c r="D7" s="40"/>
    </row>
    <row r="8" ht="27" customHeight="1" spans="1:4">
      <c r="A8" s="41" t="s">
        <v>369</v>
      </c>
      <c r="B8" s="39" t="s">
        <v>370</v>
      </c>
      <c r="C8" s="40">
        <v>0.0097</v>
      </c>
      <c r="D8" s="40"/>
    </row>
    <row r="9" ht="25.95" customHeight="1" spans="1:4">
      <c r="A9" s="41" t="s">
        <v>371</v>
      </c>
      <c r="B9" s="39" t="s">
        <v>372</v>
      </c>
      <c r="C9" s="40">
        <v>0.008</v>
      </c>
      <c r="D9" s="40"/>
    </row>
    <row r="10" ht="24" customHeight="1" spans="1:4">
      <c r="A10" s="41" t="s">
        <v>373</v>
      </c>
      <c r="B10" s="39" t="s">
        <v>374</v>
      </c>
      <c r="C10" s="40">
        <v>0.0059</v>
      </c>
      <c r="D10" s="40"/>
    </row>
    <row r="11" ht="25.95" customHeight="1" spans="1:4">
      <c r="A11" s="41" t="s">
        <v>375</v>
      </c>
      <c r="B11" s="39" t="s">
        <v>236</v>
      </c>
      <c r="C11" s="40">
        <v>0.0616</v>
      </c>
      <c r="D11" s="40"/>
    </row>
    <row r="12" ht="28.5" spans="1:4">
      <c r="A12" s="42" t="s">
        <v>376</v>
      </c>
      <c r="B12" s="39" t="s">
        <v>377</v>
      </c>
      <c r="C12" s="40">
        <v>0.0865</v>
      </c>
      <c r="D12" s="40"/>
    </row>
    <row r="13" ht="48" customHeight="1" spans="1:4">
      <c r="A13" s="42" t="s">
        <v>378</v>
      </c>
      <c r="B13" s="39"/>
      <c r="C13" s="40">
        <v>0.045</v>
      </c>
      <c r="D13" s="40"/>
    </row>
    <row r="14" ht="28.05" customHeight="1" spans="1:4">
      <c r="A14" s="33" t="s">
        <v>379</v>
      </c>
      <c r="B14" s="33"/>
      <c r="C14" s="43">
        <f>((((1+(C7+C8+C9))*(1+C10)*(1+C11))/(1-(C12+C13)))-1)*100</f>
        <v>28.8198648345423</v>
      </c>
      <c r="D14" s="43"/>
    </row>
    <row r="15" ht="39" customHeight="1" spans="1:4">
      <c r="A15" s="44" t="s">
        <v>380</v>
      </c>
      <c r="B15" s="44"/>
      <c r="C15" s="44"/>
      <c r="D15" s="44"/>
    </row>
    <row r="16" ht="15" spans="1:4">
      <c r="A16" s="45"/>
      <c r="B16" s="46"/>
      <c r="C16" s="46"/>
      <c r="D16" s="47"/>
    </row>
    <row r="17" ht="15" customHeight="1" spans="1:4">
      <c r="A17" s="48" t="s">
        <v>381</v>
      </c>
      <c r="B17" s="49" t="s">
        <v>382</v>
      </c>
      <c r="C17" s="49"/>
      <c r="D17" s="49"/>
    </row>
    <row r="18" ht="15" customHeight="1" spans="1:4">
      <c r="A18" s="48"/>
      <c r="B18" s="49"/>
      <c r="C18" s="49"/>
      <c r="D18" s="49"/>
    </row>
  </sheetData>
  <mergeCells count="21">
    <mergeCell ref="A1:D1"/>
    <mergeCell ref="A2:D2"/>
    <mergeCell ref="B3:D3"/>
    <mergeCell ref="B4:D4"/>
    <mergeCell ref="A5:D5"/>
    <mergeCell ref="A6:B6"/>
    <mergeCell ref="C6:D6"/>
    <mergeCell ref="C7:D7"/>
    <mergeCell ref="C8:D8"/>
    <mergeCell ref="C9:D9"/>
    <mergeCell ref="C10:D10"/>
    <mergeCell ref="C11:D11"/>
    <mergeCell ref="C12:D12"/>
    <mergeCell ref="C13:D13"/>
    <mergeCell ref="A14:B14"/>
    <mergeCell ref="C14:D14"/>
    <mergeCell ref="A15:D15"/>
    <mergeCell ref="A16:D16"/>
    <mergeCell ref="A17:A18"/>
    <mergeCell ref="B12:B13"/>
    <mergeCell ref="B17:D18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ilha10"/>
  <dimension ref="A1:AMK9"/>
  <sheetViews>
    <sheetView view="pageBreakPreview" zoomScaleNormal="100" topLeftCell="A7" workbookViewId="0">
      <selection activeCell="M7" sqref="M7"/>
    </sheetView>
  </sheetViews>
  <sheetFormatPr defaultColWidth="10.6666666666667" defaultRowHeight="15.75"/>
  <cols>
    <col min="1" max="1" width="8.22222222222222" style="3" customWidth="1"/>
    <col min="2" max="2" width="10.6666666666667" style="3" customWidth="1"/>
    <col min="3" max="4" width="21.1111111111111" style="3" customWidth="1"/>
    <col min="5" max="5" width="21.1111111111111" style="4" customWidth="1"/>
    <col min="6" max="8" width="21.1111111111111" style="5" customWidth="1"/>
    <col min="9" max="9" width="17" style="3"/>
    <col min="10" max="1025" width="10.6666666666667" style="3"/>
  </cols>
  <sheetData>
    <row r="1" ht="79.05" customHeight="1" spans="1:8">
      <c r="A1" s="6" t="s">
        <v>0</v>
      </c>
      <c r="B1" s="7"/>
      <c r="C1" s="7"/>
      <c r="D1" s="7"/>
      <c r="E1" s="7"/>
      <c r="F1" s="7"/>
      <c r="G1" s="7"/>
      <c r="H1" s="8"/>
    </row>
    <row r="2" ht="36" customHeight="1" spans="1:8">
      <c r="A2" s="9" t="s">
        <v>1</v>
      </c>
      <c r="B2" s="10"/>
      <c r="C2" s="10"/>
      <c r="D2" s="10"/>
      <c r="E2" s="10"/>
      <c r="F2" s="10"/>
      <c r="G2" s="10"/>
      <c r="H2" s="11"/>
    </row>
    <row r="3" ht="28.95" customHeight="1" spans="1:8">
      <c r="A3" s="12" t="s">
        <v>131</v>
      </c>
      <c r="B3" s="12"/>
      <c r="C3" s="12"/>
      <c r="D3" s="12"/>
      <c r="E3" s="12"/>
      <c r="F3" s="12"/>
      <c r="G3" s="12"/>
      <c r="H3" s="12"/>
    </row>
    <row r="4" ht="48" customHeight="1" spans="1:8">
      <c r="A4" s="13" t="s">
        <v>3</v>
      </c>
      <c r="B4" s="13"/>
      <c r="C4" s="14" t="e">
        <f>#REF!</f>
        <v>#REF!</v>
      </c>
      <c r="D4" s="14"/>
      <c r="E4" s="14"/>
      <c r="F4" s="14"/>
      <c r="G4" s="14"/>
      <c r="H4" s="14"/>
    </row>
    <row r="5" ht="18" customHeight="1" spans="1:8">
      <c r="A5" s="13" t="s">
        <v>5</v>
      </c>
      <c r="B5" s="13"/>
      <c r="C5" s="14" t="s">
        <v>6</v>
      </c>
      <c r="D5" s="14"/>
      <c r="E5" s="14"/>
      <c r="F5" s="14"/>
      <c r="G5" s="14"/>
      <c r="H5" s="14"/>
    </row>
    <row r="6" ht="42" customHeight="1" spans="1:8">
      <c r="A6" s="15" t="s">
        <v>7</v>
      </c>
      <c r="B6" s="15"/>
      <c r="C6" s="16" t="s">
        <v>383</v>
      </c>
      <c r="D6" s="14"/>
      <c r="E6" s="14"/>
      <c r="F6" s="14"/>
      <c r="G6" s="14"/>
      <c r="H6" s="14"/>
    </row>
    <row r="7" s="1" customFormat="1" ht="409.05" customHeight="1" spans="1:1025">
      <c r="A7" s="17"/>
      <c r="B7" s="18"/>
      <c r="C7" s="18"/>
      <c r="D7" s="18"/>
      <c r="E7" s="18"/>
      <c r="F7" s="18"/>
      <c r="G7" s="18"/>
      <c r="H7" s="19"/>
      <c r="I7" s="2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  <c r="AJS7" s="23"/>
      <c r="AJT7" s="23"/>
      <c r="AJU7" s="23"/>
      <c r="AJV7" s="23"/>
      <c r="AJW7" s="23"/>
      <c r="AJX7" s="23"/>
      <c r="AJY7" s="23"/>
      <c r="AJZ7" s="23"/>
      <c r="AKA7" s="23"/>
      <c r="AKB7" s="23"/>
      <c r="AKC7" s="23"/>
      <c r="AKD7" s="23"/>
      <c r="AKE7" s="23"/>
      <c r="AKF7" s="23"/>
      <c r="AKG7" s="23"/>
      <c r="AKH7" s="23"/>
      <c r="AKI7" s="23"/>
      <c r="AKJ7" s="23"/>
      <c r="AKK7" s="23"/>
      <c r="AKL7" s="23"/>
      <c r="AKM7" s="23"/>
      <c r="AKN7" s="23"/>
      <c r="AKO7" s="23"/>
      <c r="AKP7" s="23"/>
      <c r="AKQ7" s="23"/>
      <c r="AKR7" s="23"/>
      <c r="AKS7" s="23"/>
      <c r="AKT7" s="23"/>
      <c r="AKU7" s="23"/>
      <c r="AKV7" s="23"/>
      <c r="AKW7" s="23"/>
      <c r="AKX7" s="23"/>
      <c r="AKY7" s="23"/>
      <c r="AKZ7" s="23"/>
      <c r="ALA7" s="23"/>
      <c r="ALB7" s="23"/>
      <c r="ALC7" s="23"/>
      <c r="ALD7" s="23"/>
      <c r="ALE7" s="23"/>
      <c r="ALF7" s="23"/>
      <c r="ALG7" s="23"/>
      <c r="ALH7" s="23"/>
      <c r="ALI7" s="23"/>
      <c r="ALJ7" s="23"/>
      <c r="ALK7" s="23"/>
      <c r="ALL7" s="23"/>
      <c r="ALM7" s="23"/>
      <c r="ALN7" s="23"/>
      <c r="ALO7" s="23"/>
      <c r="ALP7" s="23"/>
      <c r="ALQ7" s="23"/>
      <c r="ALR7" s="23"/>
      <c r="ALS7" s="23"/>
      <c r="ALT7" s="23"/>
      <c r="ALU7" s="23"/>
      <c r="ALV7" s="23"/>
      <c r="ALW7" s="23"/>
      <c r="ALX7" s="23"/>
      <c r="ALY7" s="23"/>
      <c r="ALZ7" s="23"/>
      <c r="AMA7" s="23"/>
      <c r="AMB7" s="23"/>
      <c r="AMC7" s="23"/>
      <c r="AMD7" s="23"/>
      <c r="AME7" s="23"/>
      <c r="AMF7" s="23"/>
      <c r="AMG7" s="23"/>
      <c r="AMH7" s="23"/>
      <c r="AMI7" s="23"/>
      <c r="AMJ7" s="23"/>
      <c r="AMK7" s="23"/>
    </row>
    <row r="8" s="1" customFormat="1" ht="298.05" customHeight="1" spans="1:1025">
      <c r="A8" s="17"/>
      <c r="B8" s="18"/>
      <c r="C8" s="18"/>
      <c r="D8" s="18"/>
      <c r="E8" s="18"/>
      <c r="F8" s="18"/>
      <c r="G8" s="18"/>
      <c r="H8" s="19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  <c r="AMH8" s="23"/>
      <c r="AMI8" s="23"/>
      <c r="AMJ8" s="23"/>
      <c r="AMK8" s="23"/>
    </row>
    <row r="9" s="2" customFormat="1" ht="24" customHeight="1" spans="1:1025">
      <c r="A9" s="20" t="s">
        <v>131</v>
      </c>
      <c r="B9" s="20"/>
      <c r="C9" s="20"/>
      <c r="D9" s="20"/>
      <c r="E9" s="20"/>
      <c r="F9" s="20"/>
      <c r="G9" s="20"/>
      <c r="H9" s="21">
        <v>156.5</v>
      </c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</row>
  </sheetData>
  <mergeCells count="11">
    <mergeCell ref="A1:H1"/>
    <mergeCell ref="A2:H2"/>
    <mergeCell ref="A3:H3"/>
    <mergeCell ref="A4:B4"/>
    <mergeCell ref="C4:H4"/>
    <mergeCell ref="A5:B5"/>
    <mergeCell ref="C5:H5"/>
    <mergeCell ref="A6:B6"/>
    <mergeCell ref="C6:H6"/>
    <mergeCell ref="A7:H7"/>
    <mergeCell ref="A9:G9"/>
  </mergeCells>
  <hyperlinks>
    <hyperlink ref="C6" r:id="rId2" display="https://paineldeprecos.planejamento.gov.br/"/>
  </hyperlinks>
  <printOptions horizontalCentered="1" verticalCentered="1"/>
  <pageMargins left="0.251388888888889" right="0.251388888888889" top="0.751388888888889" bottom="0.751388888888889" header="0.298611111111111" footer="0.298611111111111"/>
  <pageSetup paperSize="9" scale="74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RESUMO </vt:lpstr>
      <vt:lpstr>Orçamento </vt:lpstr>
      <vt:lpstr>Memória de Cálculo </vt:lpstr>
      <vt:lpstr>CURVA ABC</vt:lpstr>
      <vt:lpstr>Cron. Físico Finan. </vt:lpstr>
      <vt:lpstr>COMPOSIÇÕES</vt:lpstr>
      <vt:lpstr>Cálculo do BDI</vt:lpstr>
      <vt:lpstr>COTAÇÃO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(OR\307AMENTO ESCOLA SAO VICENTE - SINAPI JANEIRO 2016.xlsx)</dc:title>
  <dc:creator>Roberto</dc:creator>
  <cp:lastModifiedBy>WPS_1613401546</cp:lastModifiedBy>
  <cp:revision>25</cp:revision>
  <dcterms:created xsi:type="dcterms:W3CDTF">2019-11-08T09:16:00Z</dcterms:created>
  <cp:lastPrinted>2023-03-02T14:50:00Z</cp:lastPrinted>
  <dcterms:modified xsi:type="dcterms:W3CDTF">2023-03-13T19:02:24Z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1046-11.2.0.11486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C0FD722AEE054ABA910C219B50CEC0E3</vt:lpwstr>
  </property>
</Properties>
</file>